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30" windowWidth="19170" windowHeight="6690" tabRatio="886" activeTab="0"/>
  </bookViews>
  <sheets>
    <sheet name="Introduction" sheetId="1" r:id="rId1"/>
    <sheet name="Table of Contents" sheetId="2" r:id="rId2"/>
    <sheet name="Operations in Inventory" sheetId="3" r:id="rId3"/>
    <sheet name="Direct - Fuel Combust." sheetId="4" r:id="rId4"/>
    <sheet name="Mobile &amp; Transportation" sheetId="5" r:id="rId5"/>
    <sheet name="Waste Mngmt." sheetId="6" r:id="rId6"/>
    <sheet name="CHP Allocation" sheetId="7" r:id="rId7"/>
    <sheet name="Indirect - Energy Imports" sheetId="8" r:id="rId8"/>
    <sheet name="Indirect - Energy Exports" sheetId="9" r:id="rId9"/>
    <sheet name="Summary Table" sheetId="10" r:id="rId10"/>
    <sheet name="Custom Emission Factors" sheetId="11" r:id="rId11"/>
    <sheet name="Energy content" sheetId="12" r:id="rId12"/>
    <sheet name="Conversion Factors" sheetId="13" r:id="rId13"/>
    <sheet name="Biomass Combustion CO2" sheetId="14" r:id="rId14"/>
  </sheets>
  <externalReferences>
    <externalReference r:id="rId17"/>
  </externalReferences>
  <definedNames>
    <definedName name="CO2perGJ_jet">#REF!</definedName>
    <definedName name="D1_Air">#REF!</definedName>
    <definedName name="D1_Air_total">#REF!</definedName>
    <definedName name="D1_Boat">#REF!</definedName>
    <definedName name="D1_Boat_total">#REF!</definedName>
    <definedName name="D1_Rail">#REF!</definedName>
    <definedName name="D1_Rail_total">#REF!</definedName>
    <definedName name="D1_Road">#REF!</definedName>
    <definedName name="D1_Road_total">#REF!</definedName>
    <definedName name="DirectPart1">#REF!</definedName>
    <definedName name="get_dieselgperkm">'[1]Reference'!$E$196:$J$259</definedName>
    <definedName name="get_gasgperkm">'[1]Reference'!$E$196:$I$259</definedName>
    <definedName name="Gjperton_jet">#REF!</definedName>
    <definedName name="Go_D2_Air">'[1]Macros'!#REF!</definedName>
    <definedName name="Go_D2_Road">'[1]Macros'!#REF!</definedName>
    <definedName name="Go_In1_air">'[1]Macros'!#REF!</definedName>
    <definedName name="Go_In1_boat">'[1]Macros'!#REF!</definedName>
    <definedName name="Go_In1_Fuel">'[1]Macros'!#REF!</definedName>
    <definedName name="Go_In1_rail">'[1]Macros'!#REF!</definedName>
    <definedName name="Go_Somewhere">'[1]Macros'!#REF!</definedName>
    <definedName name="In2_Air">#REF!</definedName>
    <definedName name="In2_Air_total">#REF!</definedName>
    <definedName name="In2_Boat">#REF!</definedName>
    <definedName name="In2_Boat_total">#REF!</definedName>
    <definedName name="In2_Rail">#REF!</definedName>
    <definedName name="In2_Rail_total">#REF!</definedName>
    <definedName name="IN2_Road_total">#REF!</definedName>
    <definedName name="kmper_nm">#REF!</definedName>
    <definedName name="line_type">#REF!</definedName>
    <definedName name="_xlnm.Print_Area" localSheetId="13">'Biomass Combustion CO2'!$B$3:$G$9,'Biomass Combustion CO2'!$B$20:$N$39</definedName>
    <definedName name="_xlnm.Print_Area" localSheetId="6">'CHP Allocation'!$B$14:$R$29</definedName>
    <definedName name="_xlnm.Print_Area" localSheetId="3">'Direct - Fuel Combust.'!$B$15:$M$39</definedName>
    <definedName name="_xlnm.Print_Area" localSheetId="11">'Energy content'!$A$2:$G$36</definedName>
    <definedName name="_xlnm.Print_Area" localSheetId="8">'Indirect - Energy Exports'!$B$13:$L$36</definedName>
    <definedName name="_xlnm.Print_Area" localSheetId="7">'Indirect - Energy Imports'!$B$11:$L$34</definedName>
    <definedName name="_xlnm.Print_Area" localSheetId="0">'Introduction'!$B$1:$J$31</definedName>
    <definedName name="_xlnm.Print_Area" localSheetId="4">'Mobile &amp; Transportation'!$B$15:$P$75,'Mobile &amp; Transportation'!$B$78:$P$113</definedName>
    <definedName name="_xlnm.Print_Area" localSheetId="2">'Operations in Inventory'!$B$5:$H$46</definedName>
    <definedName name="_xlnm.Print_Area" localSheetId="9">'Summary Table'!$B$4:$J$33</definedName>
    <definedName name="_xlnm.Print_Area" localSheetId="1">'Table of Contents'!$B$2:$H$18</definedName>
    <definedName name="_xlnm.Print_Area" localSheetId="5">'Waste Mngmt.'!$B$15:$S$58,'Waste Mngmt.'!$C$64:$F$117,'Waste Mngmt.'!$B$125:$N$160</definedName>
    <definedName name="Z_E748B311_90F6_4A4B_A4FB_821E74008EC3_.wvu.Cols" localSheetId="2" hidden="1">'Operations in Inventory'!$C:$E</definedName>
    <definedName name="Z_E748B311_90F6_4A4B_A4FB_821E74008EC3_.wvu.PrintArea" localSheetId="13" hidden="1">'Biomass Combustion CO2'!$B$3:$G$9,'Biomass Combustion CO2'!$B$20:$N$40,'Biomass Combustion CO2'!#REF!</definedName>
    <definedName name="Z_E748B311_90F6_4A4B_A4FB_821E74008EC3_.wvu.PrintArea" localSheetId="6" hidden="1">'CHP Allocation'!$B$14:$R$29</definedName>
    <definedName name="Z_E748B311_90F6_4A4B_A4FB_821E74008EC3_.wvu.PrintArea" localSheetId="3" hidden="1">'Direct - Fuel Combust.'!$B$15:$M$39</definedName>
    <definedName name="Z_E748B311_90F6_4A4B_A4FB_821E74008EC3_.wvu.PrintArea" localSheetId="11" hidden="1">'Energy content'!$A$2:$G$36</definedName>
    <definedName name="Z_E748B311_90F6_4A4B_A4FB_821E74008EC3_.wvu.PrintArea" localSheetId="8" hidden="1">'Indirect - Energy Exports'!$B$13:$K$36</definedName>
    <definedName name="Z_E748B311_90F6_4A4B_A4FB_821E74008EC3_.wvu.PrintArea" localSheetId="7" hidden="1">'Indirect - Energy Imports'!$B$11:$L$34</definedName>
    <definedName name="Z_E748B311_90F6_4A4B_A4FB_821E74008EC3_.wvu.PrintArea" localSheetId="0" hidden="1">'Introduction'!$B$1:$J$31</definedName>
    <definedName name="Z_E748B311_90F6_4A4B_A4FB_821E74008EC3_.wvu.PrintArea" localSheetId="4" hidden="1">'Mobile &amp; Transportation'!$B$16:$N$74,'Mobile &amp; Transportation'!#REF!,'Mobile &amp; Transportation'!$B$78:$L$113</definedName>
    <definedName name="Z_E748B311_90F6_4A4B_A4FB_821E74008EC3_.wvu.PrintArea" localSheetId="2" hidden="1">'Operations in Inventory'!$B$5:$H$46</definedName>
    <definedName name="Z_E748B311_90F6_4A4B_A4FB_821E74008EC3_.wvu.PrintArea" localSheetId="9" hidden="1">'Summary Table'!$B$4:$J$28</definedName>
    <definedName name="Z_E748B311_90F6_4A4B_A4FB_821E74008EC3_.wvu.PrintArea" localSheetId="1" hidden="1">'Table of Contents'!$B$2:$H$18</definedName>
    <definedName name="Z_E748B311_90F6_4A4B_A4FB_821E74008EC3_.wvu.PrintArea" localSheetId="5" hidden="1">'Waste Mngmt.'!$B$15:$Q$58,'Waste Mngmt.'!$C$64:$F$118,'Waste Mngmt.'!$B$125:$L$160</definedName>
    <definedName name="Z_E748B311_90F6_4A4B_A4FB_821E74008EC3_.wvu.Rows" localSheetId="4" hidden="1">'Mobile &amp; Transportation'!$73:$73</definedName>
  </definedNames>
  <calcPr fullCalcOnLoad="1"/>
</workbook>
</file>

<file path=xl/comments11.xml><?xml version="1.0" encoding="utf-8"?>
<comments xmlns="http://schemas.openxmlformats.org/spreadsheetml/2006/main">
  <authors>
    <author>System Administrator</author>
  </authors>
  <commentList>
    <comment ref="F16" authorId="0">
      <text>
        <r>
          <rPr>
            <b/>
            <sz val="8"/>
            <rFont val="Tahoma"/>
            <family val="0"/>
          </rPr>
          <t>3.664 = conversion factor between C and CO</t>
        </r>
        <r>
          <rPr>
            <b/>
            <sz val="8"/>
            <rFont val="Tahoma"/>
            <family val="0"/>
          </rPr>
          <t xml:space="preserve">2 </t>
        </r>
      </text>
    </comment>
  </commentList>
</comments>
</file>

<file path=xl/sharedStrings.xml><?xml version="1.0" encoding="utf-8"?>
<sst xmlns="http://schemas.openxmlformats.org/spreadsheetml/2006/main" count="1090" uniqueCount="699">
  <si>
    <r>
      <t xml:space="preserve">Method 2 is applicable to landfills where the </t>
    </r>
    <r>
      <rPr>
        <b/>
        <sz val="12"/>
        <color indexed="10"/>
        <rFont val="Arial"/>
        <family val="2"/>
      </rPr>
      <t>amounts of waste deposited are reasonably constant from year-to-year</t>
    </r>
    <r>
      <rPr>
        <b/>
        <sz val="12"/>
        <rFont val="Arial"/>
        <family val="2"/>
      </rPr>
      <t xml:space="preserve"> 
and the </t>
    </r>
    <r>
      <rPr>
        <b/>
        <sz val="12"/>
        <color indexed="10"/>
        <rFont val="Arial"/>
        <family val="2"/>
      </rPr>
      <t>landfill design has not been changed in ways that would substantially alter landfill gas releases.
IT IS IMPORTANT TO NOT ESTIMATE EMISSIONS FOR A SINGLE LANDFILL BY MORE THAN ONE METHOD TO AVOID DOUBLE COUNTING!</t>
    </r>
  </si>
  <si>
    <t>Higher heating values and densities from American Petroleum Institute (API), Compendium of Greenhouse Gas Emissions Estimation Methodologies for the Oil &amp; Gas Industry (Pilot Test Version), 2001</t>
  </si>
  <si>
    <r>
      <t>CO</t>
    </r>
    <r>
      <rPr>
        <vertAlign val="subscript"/>
        <sz val="10"/>
        <rFont val="Arial"/>
        <family val="2"/>
      </rPr>
      <t>2</t>
    </r>
    <r>
      <rPr>
        <sz val="10"/>
        <rFont val="Arial"/>
        <family val="0"/>
      </rPr>
      <t xml:space="preserve"> emission factor
Emission factors from IPCC are shown at right</t>
    </r>
  </si>
  <si>
    <t>CO2 factors are Tier 1, CH4 and N2O factors are Tier 2 unless noted otherwise</t>
  </si>
  <si>
    <t>(Corrected for unoxidized carbon unless noted otherwise)</t>
  </si>
  <si>
    <t>Gasoline / petrol
Mobile 4-stroke engines</t>
  </si>
  <si>
    <t>Gasoline / petrol
Mobile 2-stroke engines, general</t>
  </si>
  <si>
    <t>67.2 (USDOE 2003)</t>
  </si>
  <si>
    <t>65.7 (USDOE 2003)</t>
  </si>
  <si>
    <t>CH4 factor is Tier 1, N2O factor is Tier 1</t>
  </si>
  <si>
    <t>IPCC does not provide CH4 nor N2O factors</t>
  </si>
  <si>
    <t>USDOE does not provide CH4 nor N2O factors</t>
  </si>
  <si>
    <t>*Includes a 2% correction (coal), 1% correction (petroleum products), or 0.5% correction (natural gas) for unoxidized carbon</t>
  </si>
  <si>
    <t xml:space="preserve">Sources:  </t>
  </si>
  <si>
    <t>Emission factors for mobile sources from IPCC</t>
  </si>
  <si>
    <r>
      <t xml:space="preserve">Emission factors for stationary sources from IPCC
CO2 factors are Tier 1, CH4 and N2O factors are Tier 2 unless noted otherwise
</t>
    </r>
    <r>
      <rPr>
        <b/>
        <sz val="8"/>
        <rFont val="Arial"/>
        <family val="2"/>
      </rPr>
      <t>(corrected for unoxidized carbon unless noted otherwise)</t>
    </r>
  </si>
  <si>
    <t>*Emission factor includes a 2% correction (coal), 1% correction (petroleum products), or 0.5% correction (natural gas) for unoxidized carbon</t>
  </si>
  <si>
    <r>
      <t xml:space="preserve">Method 3 is applicable to landfills where the </t>
    </r>
    <r>
      <rPr>
        <b/>
        <sz val="12"/>
        <color indexed="10"/>
        <rFont val="Arial"/>
        <family val="2"/>
      </rPr>
      <t>amounts of waste deposited vary substantially from year-to-year</t>
    </r>
    <r>
      <rPr>
        <b/>
        <sz val="12"/>
        <rFont val="Arial"/>
        <family val="2"/>
      </rPr>
      <t xml:space="preserve"> 
and the </t>
    </r>
    <r>
      <rPr>
        <b/>
        <sz val="12"/>
        <color indexed="10"/>
        <rFont val="Arial"/>
        <family val="2"/>
      </rPr>
      <t>landfill design has changed in ways that would substantially alter landfill gas releases</t>
    </r>
    <r>
      <rPr>
        <b/>
        <sz val="12"/>
        <rFont val="Arial"/>
        <family val="2"/>
      </rPr>
      <t>.
This table for Method 3 can only estimate emissions from a single landfill.  If emissions from multiple landfills are to be estimated, 
make a separate copy of this Excel worksheet for each additional landfill to be considered.  In this case, the user will have to manually 
sum all landfill emission estimates and enter this value in the appropriate cell of the "Summary Table" worksheet.</t>
    </r>
  </si>
  <si>
    <t>F2</t>
  </si>
  <si>
    <t>An aid to developing estimates using the methods in "Calculation tools for estimating greenhouse gas emissions from wood products manufacturing facilities," Report Version 1.0</t>
  </si>
  <si>
    <t xml:space="preserve">Part 2.  Emissions Associated with Mobile Equipment Based on Fuel Consumption </t>
  </si>
  <si>
    <t xml:space="preserve">Part 1.  Transportation Emissions Calculated from Fuel Used:  All Modes of Transport </t>
  </si>
  <si>
    <t>Fuel Combustion in mobile devices such as harvesting equipment</t>
  </si>
  <si>
    <t>(lb CO2/MMBtu HHV)</t>
  </si>
  <si>
    <r>
      <t>CH</t>
    </r>
    <r>
      <rPr>
        <vertAlign val="subscript"/>
        <sz val="10"/>
        <rFont val="Arial"/>
        <family val="2"/>
      </rPr>
      <t>4</t>
    </r>
    <r>
      <rPr>
        <sz val="10"/>
        <rFont val="Arial"/>
        <family val="0"/>
      </rPr>
      <t xml:space="preserve"> emission factor
Emission factors from IPCC are shown at right</t>
    </r>
  </si>
  <si>
    <r>
      <t>N</t>
    </r>
    <r>
      <rPr>
        <vertAlign val="subscript"/>
        <sz val="10"/>
        <rFont val="Arial"/>
        <family val="2"/>
      </rPr>
      <t>2</t>
    </r>
    <r>
      <rPr>
        <sz val="10"/>
        <rFont val="Arial"/>
        <family val="0"/>
      </rPr>
      <t>O emission factor
Emission factors from IPCC are shown at right</t>
    </r>
  </si>
  <si>
    <r>
      <t>DIRECT
CO</t>
    </r>
    <r>
      <rPr>
        <b/>
        <vertAlign val="subscript"/>
        <sz val="10"/>
        <rFont val="Arial"/>
        <family val="2"/>
      </rPr>
      <t>2</t>
    </r>
    <r>
      <rPr>
        <b/>
        <sz val="10"/>
        <rFont val="Arial"/>
        <family val="2"/>
      </rPr>
      <t xml:space="preserve"> emissions (metric tonnes)</t>
    </r>
  </si>
  <si>
    <r>
      <t>DIRECT
CH</t>
    </r>
    <r>
      <rPr>
        <b/>
        <vertAlign val="subscript"/>
        <sz val="10"/>
        <rFont val="Arial"/>
        <family val="2"/>
      </rPr>
      <t>4</t>
    </r>
    <r>
      <rPr>
        <b/>
        <sz val="10"/>
        <rFont val="Arial"/>
        <family val="2"/>
      </rPr>
      <t xml:space="preserve"> emissions (metric tonnes)</t>
    </r>
  </si>
  <si>
    <r>
      <t>DIRECT
N</t>
    </r>
    <r>
      <rPr>
        <b/>
        <vertAlign val="subscript"/>
        <sz val="10"/>
        <rFont val="Arial"/>
        <family val="2"/>
      </rPr>
      <t>2</t>
    </r>
    <r>
      <rPr>
        <b/>
        <sz val="10"/>
        <rFont val="Arial"/>
        <family val="2"/>
      </rPr>
      <t>O emissions (metric tonnes)</t>
    </r>
  </si>
  <si>
    <r>
      <t>INDIRECT
CO</t>
    </r>
    <r>
      <rPr>
        <b/>
        <vertAlign val="subscript"/>
        <sz val="10"/>
        <rFont val="Arial"/>
        <family val="2"/>
      </rPr>
      <t>2</t>
    </r>
    <r>
      <rPr>
        <b/>
        <sz val="10"/>
        <rFont val="Arial"/>
        <family val="2"/>
      </rPr>
      <t xml:space="preserve"> emissions (metric tonnes)</t>
    </r>
  </si>
  <si>
    <r>
      <t>INDIRECT
CH</t>
    </r>
    <r>
      <rPr>
        <b/>
        <vertAlign val="subscript"/>
        <sz val="10"/>
        <rFont val="Arial"/>
        <family val="2"/>
      </rPr>
      <t>4</t>
    </r>
    <r>
      <rPr>
        <b/>
        <sz val="10"/>
        <rFont val="Arial"/>
        <family val="2"/>
      </rPr>
      <t xml:space="preserve"> emissions (metric tonnes)</t>
    </r>
  </si>
  <si>
    <r>
      <t>INDIRECT
N</t>
    </r>
    <r>
      <rPr>
        <b/>
        <vertAlign val="subscript"/>
        <sz val="10"/>
        <rFont val="Arial"/>
        <family val="2"/>
      </rPr>
      <t>2</t>
    </r>
    <r>
      <rPr>
        <b/>
        <sz val="10"/>
        <rFont val="Arial"/>
        <family val="2"/>
      </rPr>
      <t>O emissions (metric tonnes)</t>
    </r>
  </si>
  <si>
    <t>E = A1 × A2 × B / 2205</t>
  </si>
  <si>
    <t>F = A1 × A2 × C / 2205</t>
  </si>
  <si>
    <t>E = A1 × A2 × D / 2205</t>
  </si>
  <si>
    <t>H = (1-A1) × A2 × B / 2205</t>
  </si>
  <si>
    <t>I = (1-A1) × A2 × C / 2205</t>
  </si>
  <si>
    <t>J = (1-A1) × A2 × D / 2205</t>
  </si>
  <si>
    <t>DIRECT EMISSIONS</t>
  </si>
  <si>
    <t>INDIRECT EMISSIONS</t>
  </si>
  <si>
    <r>
      <t>tonnes CO</t>
    </r>
    <r>
      <rPr>
        <b/>
        <vertAlign val="subscript"/>
        <sz val="10"/>
        <rFont val="Arial"/>
        <family val="2"/>
      </rPr>
      <t>2</t>
    </r>
  </si>
  <si>
    <r>
      <t>tonnes CH</t>
    </r>
    <r>
      <rPr>
        <b/>
        <vertAlign val="subscript"/>
        <sz val="10"/>
        <rFont val="Arial"/>
        <family val="2"/>
      </rPr>
      <t>4</t>
    </r>
  </si>
  <si>
    <r>
      <t>tonnes N</t>
    </r>
    <r>
      <rPr>
        <b/>
        <vertAlign val="subscript"/>
        <sz val="10"/>
        <rFont val="Arial"/>
        <family val="2"/>
      </rPr>
      <t>2</t>
    </r>
    <r>
      <rPr>
        <b/>
        <sz val="10"/>
        <rFont val="Arial"/>
        <family val="2"/>
      </rPr>
      <t>O</t>
    </r>
  </si>
  <si>
    <t xml:space="preserve">Total emissions from mobile equipment: </t>
  </si>
  <si>
    <t>Grand Total of all Mobil and Transportation Emissions (sum of results from Parts 1 and 2):</t>
  </si>
  <si>
    <r>
      <t xml:space="preserve">This worksheet can be used to calculate emissions from mobile combustion sources, including transportation.
The worksheet contains two parts:
    Part 1 is used to calculate transportation emissions </t>
    </r>
    <r>
      <rPr>
        <b/>
        <sz val="10"/>
        <color indexed="10"/>
        <rFont val="Arial"/>
        <family val="2"/>
      </rPr>
      <t>based on quantity of fuels consumed.</t>
    </r>
    <r>
      <rPr>
        <b/>
        <sz val="10"/>
        <rFont val="Arial"/>
        <family val="2"/>
      </rPr>
      <t xml:space="preserve">
    Part 2 is used to calculate emissions from </t>
    </r>
    <r>
      <rPr>
        <b/>
        <sz val="10"/>
        <color indexed="10"/>
        <rFont val="Arial"/>
        <family val="2"/>
      </rPr>
      <t>non-transportation mobile sources such as harvesting equipment</t>
    </r>
    <r>
      <rPr>
        <b/>
        <sz val="10"/>
        <rFont val="Arial"/>
        <family val="2"/>
      </rPr>
      <t xml:space="preserve">
</t>
    </r>
    <r>
      <rPr>
        <b/>
        <sz val="16"/>
        <color indexed="10"/>
        <rFont val="Arial"/>
        <family val="2"/>
      </rPr>
      <t>Be careful to avoid double counting!</t>
    </r>
    <r>
      <rPr>
        <b/>
        <sz val="16"/>
        <rFont val="Arial"/>
        <family val="2"/>
      </rPr>
      <t xml:space="preserve">  </t>
    </r>
    <r>
      <rPr>
        <b/>
        <sz val="10"/>
        <rFont val="Arial"/>
        <family val="2"/>
      </rPr>
      <t>If transportation emissions for a fleet are estimated using Part 1, do not also estimate emissions for this same fleet using Part 2.
Do not include any combustion sources on this page that were already addressed in the "Direct - Fuel Combust." sheet.</t>
    </r>
  </si>
  <si>
    <t>Direct emissions from stationary fuel combustion</t>
  </si>
  <si>
    <t>Direct emissions attributable to exports of steam and power (a subset of direct emissions from stationary combustion)</t>
  </si>
  <si>
    <t>Direct emissions from transportation and mobile sources</t>
  </si>
  <si>
    <t>Direct emissions from waste management</t>
  </si>
  <si>
    <t>N/A</t>
  </si>
  <si>
    <t>Total direct emissions</t>
  </si>
  <si>
    <t>Indirect emissions from steam and power imports</t>
  </si>
  <si>
    <t>Indirect emissions from transportation and mobile sources</t>
  </si>
  <si>
    <t>Indirect emissions from waste management</t>
  </si>
  <si>
    <t>Total indirect emissions</t>
  </si>
  <si>
    <r>
      <t>CO</t>
    </r>
    <r>
      <rPr>
        <b/>
        <vertAlign val="subscript"/>
        <sz val="12"/>
        <rFont val="Arial"/>
        <family val="2"/>
      </rPr>
      <t xml:space="preserve">2
</t>
    </r>
    <r>
      <rPr>
        <b/>
        <sz val="12"/>
        <rFont val="Arial"/>
        <family val="2"/>
      </rPr>
      <t>(metric tonnes)</t>
    </r>
  </si>
  <si>
    <r>
      <t>CH</t>
    </r>
    <r>
      <rPr>
        <b/>
        <vertAlign val="subscript"/>
        <sz val="12"/>
        <rFont val="Arial"/>
        <family val="2"/>
      </rPr>
      <t xml:space="preserve">4
</t>
    </r>
    <r>
      <rPr>
        <b/>
        <sz val="12"/>
        <rFont val="Arial"/>
        <family val="2"/>
      </rPr>
      <t>(metric tonnes)</t>
    </r>
  </si>
  <si>
    <r>
      <t>N</t>
    </r>
    <r>
      <rPr>
        <b/>
        <vertAlign val="subscript"/>
        <sz val="12"/>
        <rFont val="Arial"/>
        <family val="2"/>
      </rPr>
      <t>2</t>
    </r>
    <r>
      <rPr>
        <b/>
        <sz val="12"/>
        <rFont val="Arial"/>
        <family val="2"/>
      </rPr>
      <t>O
(metric tonnes)</t>
    </r>
  </si>
  <si>
    <r>
      <t>CO</t>
    </r>
    <r>
      <rPr>
        <b/>
        <vertAlign val="subscript"/>
        <sz val="12"/>
        <rFont val="Arial"/>
        <family val="2"/>
      </rPr>
      <t>2</t>
    </r>
    <r>
      <rPr>
        <b/>
        <sz val="12"/>
        <rFont val="Arial"/>
        <family val="2"/>
      </rPr>
      <t>-equiv
(metric tonnes)</t>
    </r>
  </si>
  <si>
    <r>
      <t>Combustion-Related Releases of Biomass-Derived CO</t>
    </r>
    <r>
      <rPr>
        <b/>
        <vertAlign val="subscript"/>
        <sz val="16"/>
        <rFont val="Arial"/>
        <family val="2"/>
      </rPr>
      <t>2</t>
    </r>
  </si>
  <si>
    <r>
      <t>Combustion-Related Releases of Biomass-Derived CO</t>
    </r>
    <r>
      <rPr>
        <vertAlign val="subscript"/>
        <sz val="12"/>
        <rFont val="Arial"/>
        <family val="2"/>
      </rPr>
      <t>2</t>
    </r>
    <r>
      <rPr>
        <sz val="12"/>
        <rFont val="Arial"/>
        <family val="2"/>
      </rPr>
      <t xml:space="preserve">
[ metric tons CO</t>
    </r>
    <r>
      <rPr>
        <vertAlign val="subscript"/>
        <sz val="12"/>
        <rFont val="Arial"/>
        <family val="2"/>
      </rPr>
      <t xml:space="preserve">2 </t>
    </r>
    <r>
      <rPr>
        <sz val="12"/>
        <rFont val="Arial"/>
        <family val="2"/>
      </rPr>
      <t xml:space="preserve"> / year ]</t>
    </r>
  </si>
  <si>
    <t>Explain source or basis of emission factors for estimating emissions from imported electricity or steam</t>
  </si>
  <si>
    <t>Step 4: Sum GHG emissions:</t>
  </si>
  <si>
    <t>should be reported in scope 2 as indirect emissions.</t>
  </si>
  <si>
    <r>
      <t>CH</t>
    </r>
    <r>
      <rPr>
        <vertAlign val="subscript"/>
        <sz val="10"/>
        <rFont val="Arial"/>
        <family val="2"/>
      </rPr>
      <t>4</t>
    </r>
    <r>
      <rPr>
        <sz val="10"/>
        <rFont val="Arial"/>
        <family val="0"/>
      </rPr>
      <t xml:space="preserve"> emission factor for imported electricity or steam*</t>
    </r>
  </si>
  <si>
    <r>
      <t>N</t>
    </r>
    <r>
      <rPr>
        <vertAlign val="subscript"/>
        <sz val="10"/>
        <rFont val="Arial"/>
        <family val="2"/>
      </rPr>
      <t>2</t>
    </r>
    <r>
      <rPr>
        <sz val="10"/>
        <rFont val="Arial"/>
        <family val="0"/>
      </rPr>
      <t>O emission factor for imported electricity or steam*</t>
    </r>
  </si>
  <si>
    <r>
      <t>Indirect CO</t>
    </r>
    <r>
      <rPr>
        <vertAlign val="subscript"/>
        <sz val="10"/>
        <rFont val="Arial"/>
        <family val="2"/>
      </rPr>
      <t>2</t>
    </r>
    <r>
      <rPr>
        <sz val="10"/>
        <rFont val="Arial"/>
        <family val="0"/>
      </rPr>
      <t xml:space="preserve"> emissions in metric tonnes</t>
    </r>
  </si>
  <si>
    <r>
      <t>Indirect CH</t>
    </r>
    <r>
      <rPr>
        <vertAlign val="subscript"/>
        <sz val="10"/>
        <rFont val="Arial"/>
        <family val="2"/>
      </rPr>
      <t>4</t>
    </r>
    <r>
      <rPr>
        <sz val="10"/>
        <rFont val="Arial"/>
        <family val="0"/>
      </rPr>
      <t xml:space="preserve"> emissions in metric tonnes</t>
    </r>
  </si>
  <si>
    <r>
      <t>Indirect N</t>
    </r>
    <r>
      <rPr>
        <vertAlign val="subscript"/>
        <sz val="10"/>
        <rFont val="Arial"/>
        <family val="2"/>
      </rPr>
      <t>2</t>
    </r>
    <r>
      <rPr>
        <sz val="10"/>
        <rFont val="Arial"/>
        <family val="0"/>
      </rPr>
      <t>O emissions in metric tonnes</t>
    </r>
  </si>
  <si>
    <r>
      <t xml:space="preserve"> metric tons CH</t>
    </r>
    <r>
      <rPr>
        <vertAlign val="subscript"/>
        <sz val="10"/>
        <rFont val="Arial"/>
        <family val="2"/>
      </rPr>
      <t>4</t>
    </r>
  </si>
  <si>
    <r>
      <t xml:space="preserve"> metric tons N</t>
    </r>
    <r>
      <rPr>
        <vertAlign val="subscript"/>
        <sz val="10"/>
        <rFont val="Arial"/>
        <family val="2"/>
      </rPr>
      <t>2</t>
    </r>
    <r>
      <rPr>
        <sz val="10"/>
        <rFont val="Arial"/>
        <family val="0"/>
      </rPr>
      <t>O</t>
    </r>
  </si>
  <si>
    <r>
      <t>Note:</t>
    </r>
    <r>
      <rPr>
        <b/>
        <sz val="11"/>
        <rFont val="Arial"/>
        <family val="2"/>
      </rPr>
      <t xml:space="preserve"> The emissions associated with electricity and/or steam import </t>
    </r>
  </si>
  <si>
    <r>
      <t>lb CH</t>
    </r>
    <r>
      <rPr>
        <vertAlign val="subscript"/>
        <sz val="10"/>
        <rFont val="Arial"/>
        <family val="2"/>
      </rPr>
      <t>4</t>
    </r>
    <r>
      <rPr>
        <sz val="10"/>
        <rFont val="Arial"/>
        <family val="0"/>
      </rPr>
      <t xml:space="preserve"> / MWh</t>
    </r>
  </si>
  <si>
    <r>
      <t>lb N</t>
    </r>
    <r>
      <rPr>
        <vertAlign val="subscript"/>
        <sz val="10"/>
        <rFont val="Arial"/>
        <family val="2"/>
      </rPr>
      <t>2</t>
    </r>
    <r>
      <rPr>
        <sz val="10"/>
        <rFont val="Arial"/>
        <family val="0"/>
      </rPr>
      <t>O / MWh</t>
    </r>
  </si>
  <si>
    <r>
      <t>Note:</t>
    </r>
    <r>
      <rPr>
        <b/>
        <sz val="11"/>
        <rFont val="Arial"/>
        <family val="2"/>
      </rPr>
      <t xml:space="preserve"> The emissions and indirect emissions impacts related to electricity and steam </t>
    </r>
    <r>
      <rPr>
        <b/>
        <sz val="11"/>
        <color indexed="10"/>
        <rFont val="Arial"/>
        <family val="2"/>
      </rPr>
      <t>exports</t>
    </r>
    <r>
      <rPr>
        <b/>
        <sz val="11"/>
        <rFont val="Arial"/>
        <family val="2"/>
      </rPr>
      <t xml:space="preserve"> </t>
    </r>
  </si>
  <si>
    <r>
      <t xml:space="preserve">should be reported separately from indirect emissions from </t>
    </r>
    <r>
      <rPr>
        <b/>
        <sz val="11"/>
        <color indexed="10"/>
        <rFont val="Arial"/>
        <family val="2"/>
      </rPr>
      <t>imported</t>
    </r>
    <r>
      <rPr>
        <b/>
        <sz val="11"/>
        <rFont val="Arial"/>
        <family val="2"/>
      </rPr>
      <t xml:space="preserve"> power or steam</t>
    </r>
  </si>
  <si>
    <r>
      <t>Total direct CH</t>
    </r>
    <r>
      <rPr>
        <vertAlign val="subscript"/>
        <sz val="10"/>
        <rFont val="Arial"/>
        <family val="2"/>
      </rPr>
      <t>4</t>
    </r>
    <r>
      <rPr>
        <sz val="10"/>
        <rFont val="Arial"/>
        <family val="0"/>
      </rPr>
      <t xml:space="preserve"> emissions from generating the total electricity/steam</t>
    </r>
  </si>
  <si>
    <r>
      <t>Total direct N</t>
    </r>
    <r>
      <rPr>
        <vertAlign val="subscript"/>
        <sz val="10"/>
        <rFont val="Arial"/>
        <family val="2"/>
      </rPr>
      <t>2</t>
    </r>
    <r>
      <rPr>
        <sz val="10"/>
        <rFont val="Arial"/>
        <family val="0"/>
      </rPr>
      <t>O emissions from generating the total electricity/steam</t>
    </r>
  </si>
  <si>
    <r>
      <t>Indirect CH</t>
    </r>
    <r>
      <rPr>
        <vertAlign val="subscript"/>
        <sz val="10"/>
        <rFont val="Arial"/>
        <family val="2"/>
      </rPr>
      <t>4</t>
    </r>
    <r>
      <rPr>
        <sz val="10"/>
        <rFont val="Arial"/>
        <family val="0"/>
      </rPr>
      <t xml:space="preserve"> emissions impact related to exported power or steam</t>
    </r>
  </si>
  <si>
    <r>
      <t>Indirect N</t>
    </r>
    <r>
      <rPr>
        <vertAlign val="subscript"/>
        <sz val="10"/>
        <rFont val="Arial"/>
        <family val="2"/>
      </rPr>
      <t>2</t>
    </r>
    <r>
      <rPr>
        <sz val="10"/>
        <rFont val="Arial"/>
        <family val="0"/>
      </rPr>
      <t>O emissions impact related to exported power or steam</t>
    </r>
  </si>
  <si>
    <t>F = B * E / A</t>
  </si>
  <si>
    <t>G = C * E / A</t>
  </si>
  <si>
    <t>H = D * E / A</t>
  </si>
  <si>
    <t>I = [ F + (G*21) + (H*310) ] / E</t>
  </si>
  <si>
    <r>
      <t>metric tonnes CO</t>
    </r>
    <r>
      <rPr>
        <vertAlign val="subscript"/>
        <sz val="10"/>
        <rFont val="Arial"/>
        <family val="2"/>
      </rPr>
      <t>2</t>
    </r>
  </si>
  <si>
    <r>
      <t>metric tonnes CH</t>
    </r>
    <r>
      <rPr>
        <vertAlign val="subscript"/>
        <sz val="10"/>
        <rFont val="Arial"/>
        <family val="2"/>
      </rPr>
      <t>4</t>
    </r>
  </si>
  <si>
    <r>
      <t>metric tonnes N</t>
    </r>
    <r>
      <rPr>
        <vertAlign val="subscript"/>
        <sz val="10"/>
        <rFont val="Arial"/>
        <family val="2"/>
      </rPr>
      <t>2</t>
    </r>
    <r>
      <rPr>
        <sz val="10"/>
        <rFont val="Arial"/>
        <family val="0"/>
      </rPr>
      <t>O</t>
    </r>
  </si>
  <si>
    <r>
      <t>metric tonnes CO</t>
    </r>
    <r>
      <rPr>
        <vertAlign val="subscript"/>
        <sz val="10"/>
        <rFont val="Arial"/>
        <family val="2"/>
      </rPr>
      <t>2</t>
    </r>
    <r>
      <rPr>
        <sz val="10"/>
        <rFont val="Arial"/>
        <family val="0"/>
      </rPr>
      <t xml:space="preserve"> equiv. / MWh</t>
    </r>
  </si>
  <si>
    <r>
      <t>metric tonnes CO</t>
    </r>
    <r>
      <rPr>
        <vertAlign val="subscript"/>
        <sz val="10"/>
        <rFont val="Arial"/>
        <family val="2"/>
      </rPr>
      <t xml:space="preserve">2 </t>
    </r>
    <r>
      <rPr>
        <sz val="10"/>
        <rFont val="Arial"/>
        <family val="0"/>
      </rPr>
      <t>equiv / MWh</t>
    </r>
  </si>
  <si>
    <r>
      <t>Direct</t>
    </r>
    <r>
      <rPr>
        <sz val="10"/>
        <rFont val="Arial"/>
        <family val="0"/>
      </rPr>
      <t xml:space="preserve">
Methane emissions in metric tonnes</t>
    </r>
  </si>
  <si>
    <t>G1 = A1 * F</t>
  </si>
  <si>
    <r>
      <t>Indirect</t>
    </r>
    <r>
      <rPr>
        <sz val="10"/>
        <rFont val="Arial"/>
        <family val="0"/>
      </rPr>
      <t xml:space="preserve">
Methane emissions in metric tonnes</t>
    </r>
  </si>
  <si>
    <t>G2 = (1-A1) * F</t>
  </si>
  <si>
    <t>metric tonnes CH4</t>
  </si>
  <si>
    <t>F1 = A1 * E</t>
  </si>
  <si>
    <t>F2 = (1-A1) * E</t>
  </si>
  <si>
    <t>H1 = A1 * G</t>
  </si>
  <si>
    <t>H2 = (1-A1) * G</t>
  </si>
  <si>
    <r>
      <t>Direct</t>
    </r>
    <r>
      <rPr>
        <sz val="10"/>
        <rFont val="Arial"/>
        <family val="0"/>
      </rPr>
      <t xml:space="preserve">
Methane emissions in metric tonnes </t>
    </r>
  </si>
  <si>
    <t>L1 = A1 * K</t>
  </si>
  <si>
    <t>L2 = (1-A1) * K</t>
  </si>
  <si>
    <t>Estimated Direct Emissions [metric tonnes CH4]:</t>
  </si>
  <si>
    <t>Estimated Indirect Emissions [metric tonnes CH4]:</t>
  </si>
  <si>
    <t>The example reporting format provided in the "Calculation tools for estimating greehouse gas emissions from wood products manufacturing facilities" can be achieved by printing the following completed worksheets:</t>
  </si>
  <si>
    <t>These spreadsheets were developed by NCASI for the American Forest and Paper Association (AF&amp;PA) and the Forest Products Association of Canada (FPAC).  Questions or comments on this material can be directed to:
Brad Upton
NCASI West Coast Regional Center
PO Box 458
Corvallis, OR, USA 97339
phone: + 541-752-8801 ext 224
fax: + 541-752-8806
e-mail:  BUpton@ncasi.org</t>
  </si>
  <si>
    <r>
      <t xml:space="preserve">lb CO2 / MMBtu fuel*
</t>
    </r>
    <r>
      <rPr>
        <b/>
        <sz val="10"/>
        <color indexed="10"/>
        <rFont val="Arial"/>
        <family val="2"/>
      </rPr>
      <t>[based on higher heating value]</t>
    </r>
  </si>
  <si>
    <r>
      <t xml:space="preserve">lb CH4 / MMBtu fuel 
</t>
    </r>
    <r>
      <rPr>
        <b/>
        <sz val="10"/>
        <color indexed="10"/>
        <rFont val="Arial"/>
        <family val="2"/>
      </rPr>
      <t>[based on higher heating value]</t>
    </r>
  </si>
  <si>
    <r>
      <t xml:space="preserve">lb N2O / MMBtu fuel 
</t>
    </r>
    <r>
      <rPr>
        <b/>
        <sz val="10"/>
        <color indexed="10"/>
        <rFont val="Arial"/>
        <family val="2"/>
      </rPr>
      <t>[based on higher heating value]</t>
    </r>
  </si>
  <si>
    <r>
      <t xml:space="preserve">lb CO2 equiv. / MMBtu fuel*
</t>
    </r>
    <r>
      <rPr>
        <b/>
        <sz val="10"/>
        <color indexed="10"/>
        <rFont val="Arial"/>
        <family val="2"/>
      </rPr>
      <t>[based on higher heating value]</t>
    </r>
  </si>
  <si>
    <t>Quantity of gas collected
[dry standard cubic feet/yr]</t>
  </si>
  <si>
    <t>Quantity of methane released
[dry standard cubic feet/yr]</t>
  </si>
  <si>
    <t>G = F * [0.042 lb/standard cubic foot] / [2205 lb/tonne]</t>
  </si>
  <si>
    <t>Annual waste deposits
[Dry short tons / year]</t>
  </si>
  <si>
    <t>Ultimate Methane Potential, Lo, in
cubic feet methane per dry short ton waste
[default for mill waste = 3200 ft3/dry ton]</t>
  </si>
  <si>
    <t>Quantity of methane generated
[dry standard cubic feet/yr]</t>
  </si>
  <si>
    <t>F = A2 * B * (e^(-k*E) - e^(-k*D))</t>
  </si>
  <si>
    <t>F=((A2/B)*(1-B)*D*(1-E))+(A*D*(1-C))</t>
  </si>
  <si>
    <t>Methane emissions in cubic feet per year</t>
  </si>
  <si>
    <r>
      <t>lb CO</t>
    </r>
    <r>
      <rPr>
        <vertAlign val="subscript"/>
        <sz val="10"/>
        <rFont val="Arial"/>
        <family val="2"/>
      </rPr>
      <t>2</t>
    </r>
    <r>
      <rPr>
        <sz val="10"/>
        <rFont val="Arial"/>
        <family val="0"/>
      </rPr>
      <t xml:space="preserve"> / MWh</t>
    </r>
  </si>
  <si>
    <t>MMBtu HHV / short ton</t>
  </si>
  <si>
    <t>C = 2000 * B * 3.664 / A</t>
  </si>
  <si>
    <r>
      <t>lb CO</t>
    </r>
    <r>
      <rPr>
        <vertAlign val="subscript"/>
        <sz val="10"/>
        <rFont val="Arial"/>
        <family val="2"/>
      </rPr>
      <t>2</t>
    </r>
    <r>
      <rPr>
        <sz val="10"/>
        <rFont val="Arial"/>
        <family val="0"/>
      </rPr>
      <t xml:space="preserve"> / MMBtu HHV</t>
    </r>
  </si>
  <si>
    <t>(MMBtu HHV/bbl - 42 gal) if not otherwise mentioned</t>
  </si>
  <si>
    <t>12,500 Btu/lb</t>
  </si>
  <si>
    <t>13,500 Btu/lb</t>
  </si>
  <si>
    <t>8735 Btu/lb</t>
  </si>
  <si>
    <t>6480 Btu/lb</t>
  </si>
  <si>
    <t>10.9 MMBtu/ton</t>
  </si>
  <si>
    <t>15.5 MMBtu/ton</t>
  </si>
  <si>
    <t>16.6 MMBtu/ton</t>
  </si>
  <si>
    <t>20.0MMBtu/ton</t>
  </si>
  <si>
    <t>( lb/gal ) if not otherwise mentioned</t>
  </si>
  <si>
    <t>4.52 (liquid)</t>
  </si>
  <si>
    <t>4.84 (liquid)</t>
  </si>
  <si>
    <t>4.24 (liquid)</t>
  </si>
  <si>
    <t>12,690 Btu/lb</t>
  </si>
  <si>
    <t>Source (unless otherwise noted): American Petroleum Institute (API), Compendium of Greenhouse Gas Emissions Estimation Methodologies for the Oil &amp; Gas Industry (Pilot Test Version), 2001.</t>
  </si>
  <si>
    <t>MMBtu  (HHV)</t>
  </si>
  <si>
    <r>
      <t>CO</t>
    </r>
    <r>
      <rPr>
        <vertAlign val="subscript"/>
        <sz val="10"/>
        <rFont val="Arial"/>
        <family val="0"/>
      </rPr>
      <t>2</t>
    </r>
    <r>
      <rPr>
        <sz val="10"/>
        <rFont val="Arial"/>
        <family val="0"/>
      </rPr>
      <t xml:space="preserve"> emission factor:
[default value is:
solid biomass:  240*
lb CO</t>
    </r>
    <r>
      <rPr>
        <vertAlign val="subscript"/>
        <sz val="10"/>
        <rFont val="Arial"/>
        <family val="0"/>
      </rPr>
      <t>2</t>
    </r>
    <r>
      <rPr>
        <sz val="10"/>
        <rFont val="Arial"/>
        <family val="0"/>
      </rPr>
      <t>/MMBtu HHV]</t>
    </r>
  </si>
  <si>
    <t>lb CO2 / MMBtu HHV</t>
  </si>
  <si>
    <r>
      <t>CO</t>
    </r>
    <r>
      <rPr>
        <vertAlign val="subscript"/>
        <sz val="10"/>
        <rFont val="Arial"/>
        <family val="0"/>
      </rPr>
      <t>2</t>
    </r>
    <r>
      <rPr>
        <sz val="10"/>
        <rFont val="Arial"/>
        <family val="0"/>
      </rPr>
      <t xml:space="preserve"> emissions in lb CO2/yr </t>
    </r>
  </si>
  <si>
    <r>
      <t>Acknowledgement:</t>
    </r>
    <r>
      <rPr>
        <sz val="12"/>
        <rFont val="Arial"/>
        <family val="2"/>
      </rPr>
      <t xml:space="preserve">  The User agrees to acknowledge WRI, WBCSD, and NCASI for their roles in developing the Spreadsheets whenever the User authors reports or publications based in whole or in part on the use of the Spreadsheets.  </t>
    </r>
  </si>
  <si>
    <r>
      <t>Disclaimer:</t>
    </r>
    <r>
      <rPr>
        <sz val="12"/>
        <rFont val="Arial"/>
        <family val="2"/>
      </rPr>
      <t xml:space="preserve"> These Spreadsheets and associated materials have been prepared with a high degree of expertise and professionalism, and it is believed that the Spreadsheets provide a useful and accurate approach for calculating greenhouse gas emissions.  However, the organizations involved in their development, including WRI, WBCSD, and NCASI, collectively and individually, do not warrant these Spreadsheets for any purpose, nor do they make any representations regarding their fitness for any use or purpose whatsoever.  Each User agrees to decide if, when and how to use the Spreadsheets, and does so at his or her sole risk.  Under no circumstances shall WRI, WBCSD, or NCASI be liable for any damages, including incidental, special or consequential damages, arising from the use of these Spreadsheets or an inability to use them.  </t>
    </r>
  </si>
  <si>
    <t>Wood/chip/bark/other raw material transportation vehicles</t>
  </si>
  <si>
    <t>Air emissions control devices (e.g., RTOs, RCOs, ESPs, etc.)</t>
  </si>
  <si>
    <t>Thermal oil heaters</t>
  </si>
  <si>
    <t>Natural gas direct-fired dryers</t>
  </si>
  <si>
    <r>
      <t xml:space="preserve">Note: Emissions from </t>
    </r>
    <r>
      <rPr>
        <b/>
        <sz val="12"/>
        <color indexed="10"/>
        <rFont val="Arial"/>
        <family val="2"/>
      </rPr>
      <t>mobile sources</t>
    </r>
    <r>
      <rPr>
        <b/>
        <sz val="12"/>
        <rFont val="Arial"/>
        <family val="2"/>
      </rPr>
      <t xml:space="preserve"> are reported on the "Direct - Mobile &amp; Transportation" spreadsheet immediately behind this spreadsheet</t>
    </r>
  </si>
  <si>
    <t>Direct</t>
  </si>
  <si>
    <t>Indirect</t>
  </si>
  <si>
    <t>1 metric tonne</t>
  </si>
  <si>
    <t>0.0004536 metric tonnes</t>
  </si>
  <si>
    <r>
      <t>1 metric tonne CH</t>
    </r>
    <r>
      <rPr>
        <vertAlign val="subscript"/>
        <sz val="12"/>
        <rFont val="Arial"/>
        <family val="2"/>
      </rPr>
      <t>4</t>
    </r>
  </si>
  <si>
    <r>
      <t>1metric  tonne N</t>
    </r>
    <r>
      <rPr>
        <vertAlign val="subscript"/>
        <sz val="12"/>
        <rFont val="Arial"/>
        <family val="2"/>
      </rPr>
      <t>2</t>
    </r>
    <r>
      <rPr>
        <sz val="12"/>
        <rFont val="Arial"/>
        <family val="2"/>
      </rPr>
      <t>O</t>
    </r>
  </si>
  <si>
    <t>1 metric tonne carbon</t>
  </si>
  <si>
    <r>
      <t>21 metric tonnes CO</t>
    </r>
    <r>
      <rPr>
        <vertAlign val="subscript"/>
        <sz val="12"/>
        <rFont val="Arial"/>
        <family val="2"/>
      </rPr>
      <t>2</t>
    </r>
    <r>
      <rPr>
        <sz val="12"/>
        <rFont val="Arial"/>
        <family val="2"/>
      </rPr>
      <t xml:space="preserve"> equivalent</t>
    </r>
  </si>
  <si>
    <r>
      <t>310 metric tonnes CO</t>
    </r>
    <r>
      <rPr>
        <vertAlign val="subscript"/>
        <sz val="12"/>
        <rFont val="Arial"/>
        <family val="2"/>
      </rPr>
      <t>2</t>
    </r>
    <r>
      <rPr>
        <sz val="12"/>
        <rFont val="Arial"/>
        <family val="2"/>
      </rPr>
      <t xml:space="preserve"> equivalent</t>
    </r>
  </si>
  <si>
    <r>
      <t>3.664 metric tonnes CO</t>
    </r>
    <r>
      <rPr>
        <vertAlign val="subscript"/>
        <sz val="12"/>
        <rFont val="Arial"/>
        <family val="2"/>
      </rPr>
      <t>2</t>
    </r>
  </si>
  <si>
    <t>0.06895 bar</t>
  </si>
  <si>
    <t>0.9807 bar</t>
  </si>
  <si>
    <t>1.01325 bar</t>
  </si>
  <si>
    <r>
      <t>User Agreement:</t>
    </r>
    <r>
      <rPr>
        <sz val="12"/>
        <rFont val="Arial"/>
        <family val="2"/>
      </rPr>
      <t xml:space="preserve">  By using the Spreadsheets and associated materials in any manner, the User agrees to the following terms of this agreement:</t>
    </r>
  </si>
  <si>
    <r>
      <t>Copyright:</t>
    </r>
    <r>
      <rPr>
        <sz val="12"/>
        <rFont val="Arial"/>
        <family val="2"/>
      </rPr>
      <t xml:space="preserve">  Portions of the spreadsheets and associated materials were developed by WRI, WBCSD or NCASI, are copyrighted, and are published here with the permission of those developers.  The User acknowledges these copyrights.  </t>
    </r>
  </si>
  <si>
    <t xml:space="preserve">1 </t>
  </si>
  <si>
    <t xml:space="preserve">2 </t>
  </si>
  <si>
    <t xml:space="preserve">3 </t>
  </si>
  <si>
    <r>
      <t>Emissions of CO</t>
    </r>
    <r>
      <rPr>
        <vertAlign val="subscript"/>
        <sz val="12"/>
        <rFont val="Arial"/>
        <family val="2"/>
      </rPr>
      <t>2</t>
    </r>
    <r>
      <rPr>
        <sz val="12"/>
        <rFont val="Arial"/>
        <family val="2"/>
      </rPr>
      <t>, CH</t>
    </r>
    <r>
      <rPr>
        <vertAlign val="subscript"/>
        <sz val="12"/>
        <rFont val="Arial"/>
        <family val="2"/>
      </rPr>
      <t>4</t>
    </r>
    <r>
      <rPr>
        <sz val="12"/>
        <rFont val="Arial"/>
        <family val="2"/>
      </rPr>
      <t>, and N</t>
    </r>
    <r>
      <rPr>
        <vertAlign val="subscript"/>
        <sz val="12"/>
        <rFont val="Arial"/>
        <family val="2"/>
      </rPr>
      <t>2</t>
    </r>
    <r>
      <rPr>
        <sz val="12"/>
        <rFont val="Arial"/>
        <family val="2"/>
      </rPr>
      <t>O from fuel combustion in mobile equipment and transportation devices</t>
    </r>
  </si>
  <si>
    <t>Direct - Mobile &amp; Transportation</t>
  </si>
  <si>
    <t>GHG emission impacts associated with electricity and /or steam exports</t>
  </si>
  <si>
    <r>
      <t>Direct emissions of biomass CO</t>
    </r>
    <r>
      <rPr>
        <vertAlign val="subscript"/>
        <sz val="12"/>
        <rFont val="Arial"/>
        <family val="2"/>
      </rPr>
      <t>2</t>
    </r>
    <r>
      <rPr>
        <sz val="12"/>
        <rFont val="Arial"/>
        <family val="2"/>
      </rPr>
      <t xml:space="preserve"> for informational purposes only (do not include in GHG inventory)</t>
    </r>
  </si>
  <si>
    <t>Electricity and/or steam imports</t>
  </si>
  <si>
    <t>Natural gas (dry)</t>
  </si>
  <si>
    <t>Natural gas (dry) - Int. Comb. Engine
2 - cycle lean burn</t>
  </si>
  <si>
    <t>Natural gas (dry) - Int. Comb. Engine
4 - cycle lean burn</t>
  </si>
  <si>
    <t>Natural gas (dry) - Int. Comb. Engine
4 - cycle rich burn</t>
  </si>
  <si>
    <t>Supporting Information on Biomass</t>
  </si>
  <si>
    <t>EXPLANATION OF CELL COLOR SCHEME</t>
  </si>
  <si>
    <t xml:space="preserve">Note:  </t>
  </si>
  <si>
    <t>Supporting Info. on Biomass</t>
  </si>
  <si>
    <t>Carbon intensity of power on the grid into which the export occurred
(applies to electricity only)</t>
  </si>
  <si>
    <t>Direct Emissions - Stationary Fuel Combustion</t>
  </si>
  <si>
    <t>Note: Emissions from stationary sources are reported on the "Direct-Fuel Combust." spreadsheet immediately in front of this spreadsheet</t>
  </si>
  <si>
    <t>Example &gt;&gt;&gt;</t>
  </si>
  <si>
    <r>
      <t>Step 5: Sum CO</t>
    </r>
    <r>
      <rPr>
        <b/>
        <vertAlign val="subscript"/>
        <sz val="10"/>
        <rFont val="Arial"/>
        <family val="2"/>
      </rPr>
      <t xml:space="preserve">2 </t>
    </r>
    <r>
      <rPr>
        <b/>
        <sz val="10"/>
        <rFont val="Arial"/>
        <family val="2"/>
      </rPr>
      <t>emissions impacts related to exported power or steam:</t>
    </r>
  </si>
  <si>
    <t>Direct Emission Impacts</t>
  </si>
  <si>
    <t>Indirect Emission Impacts</t>
  </si>
  <si>
    <t>Total transportation emissons based on fuel use &gt;&gt;&gt;</t>
  </si>
  <si>
    <t>Note: Do not double count emissions by estimating the same fuel consumption by two different methods above.</t>
  </si>
  <si>
    <t>&lt;&lt;&lt; enter this value</t>
  </si>
  <si>
    <t>&lt;&lt;&lt; enter one of these</t>
  </si>
  <si>
    <t>&lt;&lt;&lt; calculated</t>
  </si>
  <si>
    <t>Energy content (HHV)</t>
  </si>
  <si>
    <r>
      <t>Direct Emissions - Stationary Fuel Combustion</t>
    </r>
    <r>
      <rPr>
        <b/>
        <sz val="18"/>
        <rFont val="Arial"/>
        <family val="2"/>
      </rPr>
      <t xml:space="preserve">, </t>
    </r>
    <r>
      <rPr>
        <sz val="18"/>
        <rFont val="Arial"/>
        <family val="2"/>
      </rPr>
      <t>(including methane and nitrous oxide emissions from biomass fuels)</t>
    </r>
  </si>
  <si>
    <t>(MMBtu HHV)</t>
  </si>
  <si>
    <r>
      <t>CH</t>
    </r>
    <r>
      <rPr>
        <vertAlign val="subscript"/>
        <sz val="10"/>
        <rFont val="Arial"/>
        <family val="2"/>
      </rPr>
      <t>4</t>
    </r>
    <r>
      <rPr>
        <sz val="10"/>
        <rFont val="Arial"/>
        <family val="0"/>
      </rPr>
      <t xml:space="preserve"> emission factor
[Emission factors from IPCC are shown below]</t>
    </r>
  </si>
  <si>
    <r>
      <t>N</t>
    </r>
    <r>
      <rPr>
        <vertAlign val="subscript"/>
        <sz val="10"/>
        <rFont val="Arial"/>
        <family val="2"/>
      </rPr>
      <t>2</t>
    </r>
    <r>
      <rPr>
        <sz val="10"/>
        <rFont val="Arial"/>
        <family val="0"/>
      </rPr>
      <t>O emission factor
[Emission factors from IPCC are shown below]</t>
    </r>
  </si>
  <si>
    <t>IMPORTANT! For equations to function correctly, numerator of emission factors must be in terms of lb of GHG and denominator must match units of fuel quantity!!</t>
  </si>
  <si>
    <r>
      <t>(lb CO</t>
    </r>
    <r>
      <rPr>
        <vertAlign val="subscript"/>
        <sz val="10"/>
        <rFont val="Arial"/>
        <family val="2"/>
      </rPr>
      <t>2</t>
    </r>
    <r>
      <rPr>
        <sz val="10"/>
        <rFont val="Arial"/>
        <family val="0"/>
      </rPr>
      <t>/MMBtu HHV)</t>
    </r>
  </si>
  <si>
    <r>
      <t>(lb CH</t>
    </r>
    <r>
      <rPr>
        <vertAlign val="subscript"/>
        <sz val="10"/>
        <rFont val="Arial"/>
        <family val="2"/>
      </rPr>
      <t>4</t>
    </r>
    <r>
      <rPr>
        <sz val="10"/>
        <rFont val="Arial"/>
        <family val="0"/>
      </rPr>
      <t>/MMBtu HHV)</t>
    </r>
  </si>
  <si>
    <r>
      <t>(lb N</t>
    </r>
    <r>
      <rPr>
        <vertAlign val="subscript"/>
        <sz val="10"/>
        <rFont val="Arial"/>
        <family val="2"/>
      </rPr>
      <t>2</t>
    </r>
    <r>
      <rPr>
        <sz val="10"/>
        <rFont val="Arial"/>
        <family val="0"/>
      </rPr>
      <t>O/MMBtu HHV)</t>
    </r>
  </si>
  <si>
    <r>
      <t>CO</t>
    </r>
    <r>
      <rPr>
        <vertAlign val="subscript"/>
        <sz val="10"/>
        <rFont val="Arial"/>
        <family val="2"/>
      </rPr>
      <t>2</t>
    </r>
    <r>
      <rPr>
        <sz val="10"/>
        <rFont val="Arial"/>
        <family val="0"/>
      </rPr>
      <t xml:space="preserve"> emissions in metric tonnes</t>
    </r>
  </si>
  <si>
    <r>
      <t>CH</t>
    </r>
    <r>
      <rPr>
        <vertAlign val="subscript"/>
        <sz val="10"/>
        <rFont val="Arial"/>
        <family val="2"/>
      </rPr>
      <t>4</t>
    </r>
    <r>
      <rPr>
        <sz val="10"/>
        <rFont val="Arial"/>
        <family val="0"/>
      </rPr>
      <t xml:space="preserve"> emissions in metric tonnes</t>
    </r>
  </si>
  <si>
    <r>
      <t>N</t>
    </r>
    <r>
      <rPr>
        <vertAlign val="subscript"/>
        <sz val="10"/>
        <rFont val="Arial"/>
        <family val="2"/>
      </rPr>
      <t>2</t>
    </r>
    <r>
      <rPr>
        <sz val="10"/>
        <rFont val="Arial"/>
        <family val="0"/>
      </rPr>
      <t>O emissions in metric tonnes</t>
    </r>
  </si>
  <si>
    <r>
      <t>Total emissions in terms of CO</t>
    </r>
    <r>
      <rPr>
        <vertAlign val="subscript"/>
        <sz val="10"/>
        <rFont val="Arial"/>
        <family val="2"/>
      </rPr>
      <t>2</t>
    </r>
    <r>
      <rPr>
        <sz val="10"/>
        <rFont val="Arial"/>
        <family val="0"/>
      </rPr>
      <t xml:space="preserve"> equivalents
(metric tonnes)</t>
    </r>
  </si>
  <si>
    <t>E = A * B / 2205</t>
  </si>
  <si>
    <t>F = A * C / 2205</t>
  </si>
  <si>
    <t>G = A * D / 2205</t>
  </si>
  <si>
    <t>H = E + (F*21) + (G*310)</t>
  </si>
  <si>
    <r>
      <t>CO</t>
    </r>
    <r>
      <rPr>
        <b/>
        <vertAlign val="subscript"/>
        <sz val="12"/>
        <rFont val="Arial"/>
        <family val="2"/>
      </rPr>
      <t>2</t>
    </r>
  </si>
  <si>
    <r>
      <t>CH</t>
    </r>
    <r>
      <rPr>
        <b/>
        <vertAlign val="subscript"/>
        <sz val="12"/>
        <rFont val="Arial"/>
        <family val="2"/>
      </rPr>
      <t>4</t>
    </r>
  </si>
  <si>
    <r>
      <t>N</t>
    </r>
    <r>
      <rPr>
        <b/>
        <vertAlign val="subscript"/>
        <sz val="12"/>
        <rFont val="Arial"/>
        <family val="2"/>
      </rPr>
      <t>2</t>
    </r>
    <r>
      <rPr>
        <b/>
        <sz val="12"/>
        <rFont val="Arial"/>
        <family val="2"/>
      </rPr>
      <t>O</t>
    </r>
  </si>
  <si>
    <r>
      <t>CO</t>
    </r>
    <r>
      <rPr>
        <b/>
        <vertAlign val="subscript"/>
        <sz val="12"/>
        <rFont val="Arial"/>
        <family val="2"/>
      </rPr>
      <t>2</t>
    </r>
    <r>
      <rPr>
        <b/>
        <sz val="12"/>
        <rFont val="Arial"/>
        <family val="2"/>
      </rPr>
      <t xml:space="preserve"> Equivalents</t>
    </r>
  </si>
  <si>
    <t>Emissions Associated with Exports of Electricity and Steam</t>
  </si>
  <si>
    <r>
      <t>Unit of CO</t>
    </r>
    <r>
      <rPr>
        <vertAlign val="subscript"/>
        <sz val="10"/>
        <rFont val="Arial"/>
        <family val="2"/>
      </rPr>
      <t>2</t>
    </r>
    <r>
      <rPr>
        <sz val="10"/>
        <rFont val="Arial"/>
        <family val="0"/>
      </rPr>
      <t xml:space="preserve"> emission factor</t>
    </r>
  </si>
  <si>
    <r>
      <t>Indirect CO</t>
    </r>
    <r>
      <rPr>
        <vertAlign val="subscript"/>
        <sz val="10"/>
        <rFont val="Arial"/>
        <family val="2"/>
      </rPr>
      <t>2</t>
    </r>
    <r>
      <rPr>
        <sz val="10"/>
        <rFont val="Arial"/>
        <family val="0"/>
      </rPr>
      <t xml:space="preserve"> emissions impact related to exported power or steam</t>
    </r>
  </si>
  <si>
    <t>Carbon intensity of exported power or steam</t>
  </si>
  <si>
    <r>
      <t xml:space="preserve">Simplified Efficiency Method: 
</t>
    </r>
    <r>
      <rPr>
        <b/>
        <sz val="10"/>
        <color indexed="10"/>
        <rFont val="Arial"/>
        <family val="2"/>
      </rPr>
      <t>Allocation based on assumed efficiencies for both steam and power production and total CHP emissions</t>
    </r>
  </si>
  <si>
    <t xml:space="preserve">Use this space to provide additional information helpful to understanding how emissions from partial ownership situations are allocated. </t>
  </si>
  <si>
    <t>GHG emissions resulting from electricity and /or steam imports</t>
  </si>
  <si>
    <t>CHP allocation</t>
  </si>
  <si>
    <t>Allocation emissions from combined heat and power systems</t>
  </si>
  <si>
    <t>Describing the inventory boundaries and listing the operations included in the inventory</t>
  </si>
  <si>
    <t>Combined heat and power:  
Allocating emissions based on the efficiency of heat and power production</t>
  </si>
  <si>
    <t>Indirect Emissions</t>
  </si>
  <si>
    <t>Operations in the Inventory</t>
  </si>
  <si>
    <t>Indirect Emissions from electricity and steam imports</t>
  </si>
  <si>
    <t>Note:  If a facility is using all of the energy outputs of a CHP system, there is no need to allocate the emissions.</t>
  </si>
  <si>
    <t>Note: Scroll down the page to find the spreadsheet for anaerobic treatment systems</t>
  </si>
  <si>
    <t>These spreadsheets include significant amounts of material copied from other WRI and WBCSD calculation tools. 
 Intellectual property rights of the WRI and WBCSD calculation tools belong to WRI and WBCSD, unless stated otherwise.</t>
  </si>
  <si>
    <t>NOTE: If the gas collection system is highly efficient and all gas is burned, the direct GHG emissions can be assumed to be zero.</t>
  </si>
  <si>
    <t>Efficiency of gas collection system
[default = 1.0]</t>
  </si>
  <si>
    <t>F = E * [ 0.72 kg / standard cubic meter ] / 1000</t>
  </si>
  <si>
    <t>E=((A/B)*(1-B)*D)+(A*D*(1-C))</t>
  </si>
  <si>
    <t>Example: System A</t>
  </si>
  <si>
    <t>Anaerobic treatment system</t>
  </si>
  <si>
    <t xml:space="preserve">Step 3: Sum mill landfill methane emissions from Method 2: </t>
  </si>
  <si>
    <t xml:space="preserve">Step 2: Sum mill landfill methane emissions from Method 1: </t>
  </si>
  <si>
    <t xml:space="preserve">Step 2: Sum anaerobic wastewater or sludge treatment methane emissions from Method 1: </t>
  </si>
  <si>
    <t>Example: System B</t>
  </si>
  <si>
    <t>Amount of organic matter sent to treatment per year
[kg BOD or COD per year]</t>
  </si>
  <si>
    <t xml:space="preserve">Method 3 - For landfills that cannot use Methods 1 or 2.  </t>
  </si>
  <si>
    <t>Year Emissions Estimated</t>
  </si>
  <si>
    <t>Methane emission factor
[default for mill wastes = 0.25 kg methane per kg COD in the feed or
0.60 kg methane per kg BOD in the feed.
Units must match column A]</t>
  </si>
  <si>
    <t>Amount of methane captured and burned
[kg methane / yr]</t>
  </si>
  <si>
    <t>Quantity of methane released
[kg methane / yr]</t>
  </si>
  <si>
    <t>E = D / 1000</t>
  </si>
  <si>
    <t xml:space="preserve">Step 2: Sum anaerobic wastewater or sludge treatment methane emissions from Method 2: </t>
  </si>
  <si>
    <t xml:space="preserve">Sum anaerobic wastewater or sludge treatment methane emissions from Methods 1 and 2: </t>
  </si>
  <si>
    <t>Sum of emissions from landfills &gt;&gt;</t>
  </si>
  <si>
    <t>Sum of emissions from anaerobic wastewater treatment and sludge digestion systems &gt;&gt;</t>
  </si>
  <si>
    <r>
      <t xml:space="preserve">Method 1 - For anaerobic wastewater treatment and sludge digestion systems </t>
    </r>
    <r>
      <rPr>
        <b/>
        <sz val="12"/>
        <color indexed="10"/>
        <rFont val="Arial"/>
        <family val="2"/>
      </rPr>
      <t>where gas is collected</t>
    </r>
  </si>
  <si>
    <r>
      <t xml:space="preserve">Method 2 - For anaerobic wastewater treatment and sludge digestion systems 
</t>
    </r>
    <r>
      <rPr>
        <b/>
        <sz val="12"/>
        <color indexed="10"/>
        <rFont val="Arial"/>
        <family val="2"/>
      </rPr>
      <t>where gas is NOT collected or the collection efficiency is not known.</t>
    </r>
  </si>
  <si>
    <t>Identifying name assigned to this inventory:</t>
  </si>
  <si>
    <t>User entry: Data and parameter values</t>
  </si>
  <si>
    <t>Auto calculated value:</t>
  </si>
  <si>
    <t>A</t>
  </si>
  <si>
    <t>B</t>
  </si>
  <si>
    <t>D</t>
  </si>
  <si>
    <t>E</t>
  </si>
  <si>
    <t>LPG</t>
  </si>
  <si>
    <t>Anthracite</t>
  </si>
  <si>
    <t>F</t>
  </si>
  <si>
    <t>C</t>
  </si>
  <si>
    <t>Total electricity/steam production by generator</t>
  </si>
  <si>
    <t>Electricity/steam exports from generator</t>
  </si>
  <si>
    <t>Energy</t>
  </si>
  <si>
    <t>Conversion Factors</t>
  </si>
  <si>
    <t>Carbon Content</t>
  </si>
  <si>
    <t>Emission Factor</t>
  </si>
  <si>
    <t>Fuel type</t>
  </si>
  <si>
    <t>G</t>
  </si>
  <si>
    <t>Source description</t>
  </si>
  <si>
    <t>Kerosene</t>
  </si>
  <si>
    <t>Propane</t>
  </si>
  <si>
    <t>Natural gas</t>
  </si>
  <si>
    <t>Exports of electrical power</t>
  </si>
  <si>
    <t>Imports of electrical power</t>
  </si>
  <si>
    <t>Imports of steam or hot water</t>
  </si>
  <si>
    <t>Exports of steam or hot water</t>
  </si>
  <si>
    <t>Fraction of total emissions claimed as direct for this entry (between 0 and 1)</t>
  </si>
  <si>
    <t>Direct Emissions</t>
  </si>
  <si>
    <t>A1</t>
  </si>
  <si>
    <t>A2</t>
  </si>
  <si>
    <t>H1</t>
  </si>
  <si>
    <t>H2</t>
  </si>
  <si>
    <t>Notes</t>
  </si>
  <si>
    <t>N2O factor is Tier 1</t>
  </si>
  <si>
    <t>Natural Gas
Other Combustion Devices</t>
  </si>
  <si>
    <t>CH4 factor is Tier 1
N2O factor is Tier 1</t>
  </si>
  <si>
    <t>Median values determined from a data set originating from a variety of sources, see Table 6, Section 9.2 of Calculation Tools for Estimating Greenhouse Gas Emissions from Wood Products Manufacturing Facilities.</t>
  </si>
  <si>
    <t>IPCC does not provide CH4 nor N2O emission factors</t>
  </si>
  <si>
    <t>USDOE does not provide CH4 nor N2O emission factors</t>
  </si>
  <si>
    <t>Based on information in WRI/WBCSD Calculation tools</t>
  </si>
  <si>
    <r>
      <t>Sub Bituminous coal</t>
    </r>
    <r>
      <rPr>
        <sz val="10"/>
        <rFont val="Arial"/>
        <family val="0"/>
      </rPr>
      <t>‡</t>
    </r>
  </si>
  <si>
    <r>
      <t>Lignite</t>
    </r>
    <r>
      <rPr>
        <sz val="10"/>
        <rFont val="Arial"/>
        <family val="0"/>
      </rPr>
      <t>‡</t>
    </r>
  </si>
  <si>
    <t>Residual fuel oil No.4</t>
  </si>
  <si>
    <t>IPCC emission factors are shown below</t>
  </si>
  <si>
    <t>Resinated Wood Residuals</t>
  </si>
  <si>
    <t>CO2 produced from burning the resin in resinated wood residuals may be considered a greenhouse gas.  More information, including methods to estimate these emissions, are in Section 8.1.1 of the GHG Calculation Tools Report</t>
  </si>
  <si>
    <t>Emission factors from Revised 1996 IPCC Guidelines for National Greenhouse Gas Inventories: Workbook (Volume 2), if not otherwise noted.</t>
  </si>
  <si>
    <t>(units converted)</t>
  </si>
  <si>
    <t>Gaseous fossil</t>
  </si>
  <si>
    <t>Liquid fossil</t>
  </si>
  <si>
    <t>Solid fossil</t>
  </si>
  <si>
    <t>Butane</t>
  </si>
  <si>
    <t>Bituminous coal</t>
  </si>
  <si>
    <t>Gasoline / petrol</t>
  </si>
  <si>
    <t>Higher heating value</t>
  </si>
  <si>
    <t>Carbon, % by weight</t>
  </si>
  <si>
    <t>Typical density</t>
  </si>
  <si>
    <t>Distillate fuel oil No.1</t>
  </si>
  <si>
    <t>Distillate fuel oil No.2</t>
  </si>
  <si>
    <t>Residual fuel oil No.5</t>
  </si>
  <si>
    <t>Residual fuel oil No.6</t>
  </si>
  <si>
    <t>69.4 wt% C (92.5 wt% CH4)</t>
  </si>
  <si>
    <t>Coke</t>
  </si>
  <si>
    <t>1 kilogram (kg)</t>
  </si>
  <si>
    <t>Mass</t>
  </si>
  <si>
    <t>1 pound (lb)</t>
  </si>
  <si>
    <t>453.6 grams (g)</t>
  </si>
  <si>
    <t>2.205 pounds (lb)</t>
  </si>
  <si>
    <t>1 short ton (ton)</t>
  </si>
  <si>
    <t>907.2 kilograms (kg)</t>
  </si>
  <si>
    <t>Volume</t>
  </si>
  <si>
    <t>7.4805 gallons (gal)</t>
  </si>
  <si>
    <t>0.1781 barrel (bbl)</t>
  </si>
  <si>
    <t>28.32 liters (L)</t>
  </si>
  <si>
    <t>3.785 liters (L)</t>
  </si>
  <si>
    <t>0.0238 barrel (bbl)</t>
  </si>
  <si>
    <t>1 barrel (bbl)</t>
  </si>
  <si>
    <t>42 gallons (gal)</t>
  </si>
  <si>
    <t>Indirect emission impacts related to electricity and steam exports</t>
  </si>
  <si>
    <t>The indirect emissions impact is based on amount of emissions associated with producing the exported power or steam</t>
  </si>
  <si>
    <t>Efficiency of heat production divided by efficiency of power production (default ratio of 0.8/.35=2.29)</t>
  </si>
  <si>
    <t>1.1023 short tons (tons)</t>
  </si>
  <si>
    <t>158.99 liters (L)</t>
  </si>
  <si>
    <t>1 litre (L)</t>
  </si>
  <si>
    <t>0.2642 gallons (gal)</t>
  </si>
  <si>
    <t>6.2897 barrels (bbl)</t>
  </si>
  <si>
    <t>264.2 gallons (gal)</t>
  </si>
  <si>
    <t>1 kilowatt hour (kWh)</t>
  </si>
  <si>
    <t>3412 Btu (btu)</t>
  </si>
  <si>
    <t>1 gigajoule (GJ)</t>
  </si>
  <si>
    <t>1.055 gigajoules (GJ)</t>
  </si>
  <si>
    <t>293 kilowatt hours (kWh)</t>
  </si>
  <si>
    <t>1 Btu (btu)</t>
  </si>
  <si>
    <t>1 million Btu (million btu)</t>
  </si>
  <si>
    <t>1 megajoule (MJ)</t>
  </si>
  <si>
    <t>0.001 gigajoules (GJ)</t>
  </si>
  <si>
    <t>0.9478 million Btu (million btu)</t>
  </si>
  <si>
    <t>277.8 kilowatt hours (kWh)</t>
  </si>
  <si>
    <t>Other</t>
  </si>
  <si>
    <t>Step 1</t>
  </si>
  <si>
    <t>1 therm (therm)</t>
  </si>
  <si>
    <t>0.1055 gigajoules (GJ)</t>
  </si>
  <si>
    <t>29.3 kilowatt hours (kWh)</t>
  </si>
  <si>
    <t>1 mile (statue)</t>
  </si>
  <si>
    <t>1.609 kilometers</t>
  </si>
  <si>
    <t>1 atmosphere (atm)</t>
  </si>
  <si>
    <t>14.696 pounds per square inch (psia)</t>
  </si>
  <si>
    <t>101.325 kilo pascals</t>
  </si>
  <si>
    <r>
      <t xml:space="preserve">1 kgf / cm </t>
    </r>
    <r>
      <rPr>
        <vertAlign val="superscript"/>
        <sz val="12"/>
        <rFont val="Arial"/>
        <family val="2"/>
      </rPr>
      <t>3</t>
    </r>
    <r>
      <rPr>
        <sz val="12"/>
        <rFont val="Arial"/>
        <family val="2"/>
      </rPr>
      <t xml:space="preserve"> (tech atm)</t>
    </r>
  </si>
  <si>
    <t>1 psi</t>
  </si>
  <si>
    <t>kilo</t>
  </si>
  <si>
    <t>mega</t>
  </si>
  <si>
    <t>giga</t>
  </si>
  <si>
    <t>tera</t>
  </si>
  <si>
    <t>Step 2</t>
  </si>
  <si>
    <t>Step 3</t>
  </si>
  <si>
    <t>Step 4</t>
  </si>
  <si>
    <t>Stream description</t>
  </si>
  <si>
    <t>2,000 pounds (lb)</t>
  </si>
  <si>
    <t>2,205 pounds (lb)</t>
  </si>
  <si>
    <t>1,000 kilograms (kg)</t>
  </si>
  <si>
    <t>1,000 liters (L)</t>
  </si>
  <si>
    <t>3,600 kilojoules (KJ)</t>
  </si>
  <si>
    <t>1,055 joules (J)</t>
  </si>
  <si>
    <t xml:space="preserve">100,000 btu </t>
  </si>
  <si>
    <t>1,000</t>
  </si>
  <si>
    <t>1,000,000</t>
  </si>
  <si>
    <t>1,000,000,000</t>
  </si>
  <si>
    <t>1,000,000,000,000</t>
  </si>
  <si>
    <t>Electricity and/or steam Import</t>
  </si>
  <si>
    <t>Step 5</t>
  </si>
  <si>
    <t>Step 6</t>
  </si>
  <si>
    <t>Step 7</t>
  </si>
  <si>
    <r>
      <t xml:space="preserve">1 cubic foot (ft </t>
    </r>
    <r>
      <rPr>
        <vertAlign val="superscript"/>
        <sz val="12"/>
        <rFont val="Arial"/>
        <family val="2"/>
      </rPr>
      <t>3</t>
    </r>
    <r>
      <rPr>
        <sz val="12"/>
        <rFont val="Arial"/>
        <family val="2"/>
      </rPr>
      <t>)</t>
    </r>
  </si>
  <si>
    <r>
      <t xml:space="preserve">1 cubic meter (m </t>
    </r>
    <r>
      <rPr>
        <vertAlign val="superscript"/>
        <sz val="12"/>
        <rFont val="Arial"/>
        <family val="2"/>
      </rPr>
      <t>3</t>
    </r>
    <r>
      <rPr>
        <sz val="12"/>
        <rFont val="Arial"/>
        <family val="2"/>
      </rPr>
      <t>)</t>
    </r>
  </si>
  <si>
    <r>
      <t xml:space="preserve">0.001 cubic meters (m </t>
    </r>
    <r>
      <rPr>
        <vertAlign val="superscript"/>
        <sz val="12"/>
        <rFont val="Arial"/>
        <family val="2"/>
      </rPr>
      <t>3</t>
    </r>
    <r>
      <rPr>
        <sz val="12"/>
        <rFont val="Arial"/>
        <family val="2"/>
      </rPr>
      <t>)</t>
    </r>
  </si>
  <si>
    <r>
      <t xml:space="preserve">0.02832 cubic meters (m </t>
    </r>
    <r>
      <rPr>
        <vertAlign val="superscript"/>
        <sz val="12"/>
        <rFont val="Arial"/>
        <family val="2"/>
      </rPr>
      <t>3</t>
    </r>
    <r>
      <rPr>
        <sz val="12"/>
        <rFont val="Arial"/>
        <family val="2"/>
      </rPr>
      <t>)</t>
    </r>
  </si>
  <si>
    <r>
      <t xml:space="preserve">0.1589 cubic meters (m </t>
    </r>
    <r>
      <rPr>
        <vertAlign val="superscript"/>
        <sz val="12"/>
        <rFont val="Arial"/>
        <family val="2"/>
      </rPr>
      <t>3</t>
    </r>
    <r>
      <rPr>
        <sz val="12"/>
        <rFont val="Arial"/>
        <family val="2"/>
      </rPr>
      <t>)</t>
    </r>
  </si>
  <si>
    <r>
      <t xml:space="preserve">0.003785 cubic meters (m </t>
    </r>
    <r>
      <rPr>
        <vertAlign val="superscript"/>
        <sz val="12"/>
        <rFont val="Arial"/>
        <family val="2"/>
      </rPr>
      <t>3</t>
    </r>
    <r>
      <rPr>
        <sz val="12"/>
        <rFont val="Arial"/>
        <family val="2"/>
      </rPr>
      <t>)</t>
    </r>
  </si>
  <si>
    <t>Name of worksheet</t>
  </si>
  <si>
    <t>Content / purpose</t>
  </si>
  <si>
    <t>Custom Emission Factors</t>
  </si>
  <si>
    <t xml:space="preserve">C </t>
  </si>
  <si>
    <t>Quantity of fuel burned</t>
  </si>
  <si>
    <t>Example: Source 1</t>
  </si>
  <si>
    <t>Sources:</t>
  </si>
  <si>
    <t>Calculating custom emission factors</t>
  </si>
  <si>
    <t>0.4536 kilograms (kg)</t>
  </si>
  <si>
    <t>Wood and wood waste</t>
  </si>
  <si>
    <t>User entry: Source / fuel description</t>
  </si>
  <si>
    <t>User entry: Fuel use / emission factor values</t>
  </si>
  <si>
    <t>Fuel Type</t>
  </si>
  <si>
    <t>Biofuels</t>
  </si>
  <si>
    <t>P  Power output</t>
  </si>
  <si>
    <t>H  Heat output (district heat, process heat, other steam)</t>
  </si>
  <si>
    <t>(GJ, BTU or kWh)</t>
  </si>
  <si>
    <r>
      <t>E</t>
    </r>
    <r>
      <rPr>
        <vertAlign val="subscript"/>
        <sz val="10"/>
        <rFont val="Arial"/>
        <family val="2"/>
      </rPr>
      <t>T</t>
    </r>
    <r>
      <rPr>
        <sz val="10"/>
        <rFont val="Arial"/>
        <family val="0"/>
      </rPr>
      <t xml:space="preserve">  Total direct emissions from CHP facility</t>
    </r>
  </si>
  <si>
    <t>(same unit as in column A)</t>
  </si>
  <si>
    <t xml:space="preserve">E </t>
  </si>
  <si>
    <t>(% w/w)</t>
  </si>
  <si>
    <t>Last year that material was deposited in landfill (or that data is available):</t>
  </si>
  <si>
    <t>First year that material was deposited in landfill (or that data is available):</t>
  </si>
  <si>
    <t>First order methane generation rate constant, k
[default for mill waste
k = 0.03/yr]</t>
  </si>
  <si>
    <t>Year of interest for emission estimate:</t>
  </si>
  <si>
    <t>MMBtu per Fuel Unit</t>
  </si>
  <si>
    <t>MMBtu HHV /unit</t>
  </si>
  <si>
    <t>Many wood products manufacturing facilities generate more than half of their energy needs from biomass fuels recovered from the industry’s waste and process streams.  The CO2 generated when biomass fuels are burned is not included in GHG emissions totals.  The GHG Protocol, however, requires that biomass-derived CO2 be reported as additional information.  This is the approach generally prescribed for national inventories by the United Nations Framework Convention on Climate Change.</t>
  </si>
  <si>
    <t>Any increases or decreases in the amount of carbon sequestered by the forests are accounted for in the comprehensive forest accounting system.  This is the approach generally prescribed for national inventories by the United Nations Framework Convention on Climate Change.  Most international protocols including that of the Intergovernmental Panel on Climate Change (IPCC) have adopted the convention set out by the United Nations.</t>
  </si>
  <si>
    <t xml:space="preserve">Estimated Biomass Emissions:
The information reported below on biomass emissions is being supplied:
 To ensure that readers understand the entity’s overall energy profile in terms of both greenhouse gas emissions, and non-greenhouse gas emissions, and
 To provide awareness and understanding of how biomass fuels are generated and used in the manufacture of wood products.
Also, note that the information reported below is in conformance with the general greenhouse gas protocol designed by the World Resources Institute and the World Business Council for Sustainable Development.  Users of these calculation tools may elect to modify the format and type of information presented based on specific facility or company needs.
</t>
  </si>
  <si>
    <r>
      <t>Estimating CO</t>
    </r>
    <r>
      <rPr>
        <b/>
        <vertAlign val="subscript"/>
        <sz val="14"/>
        <color indexed="10"/>
        <rFont val="Arial"/>
        <family val="2"/>
      </rPr>
      <t xml:space="preserve">2 </t>
    </r>
    <r>
      <rPr>
        <b/>
        <sz val="14"/>
        <color indexed="10"/>
        <rFont val="Arial"/>
        <family val="2"/>
      </rPr>
      <t>Emissions from Biomass Combustion.</t>
    </r>
  </si>
  <si>
    <t>Additional Information on Biomass</t>
  </si>
  <si>
    <t>Additional Information on Biomass Carbon Emissions from Combustion of Wood or Bark</t>
  </si>
  <si>
    <r>
      <t>CO</t>
    </r>
    <r>
      <rPr>
        <vertAlign val="subscript"/>
        <sz val="10"/>
        <rFont val="Arial"/>
        <family val="0"/>
      </rPr>
      <t>2</t>
    </r>
    <r>
      <rPr>
        <sz val="10"/>
        <rFont val="Arial"/>
        <family val="0"/>
      </rPr>
      <t xml:space="preserve"> emissions in metric tonnes/yr</t>
    </r>
  </si>
  <si>
    <t>Metric Tonne /year</t>
  </si>
  <si>
    <t>Biomass Carbon Released as CO2 from Combustion of Wood or Bark</t>
  </si>
  <si>
    <t>MMBtu/unit</t>
  </si>
  <si>
    <t>lb CO2/MMBtu HHV</t>
  </si>
  <si>
    <t>lb CO2/MMBtu</t>
  </si>
  <si>
    <t>From IPCC*</t>
  </si>
  <si>
    <t>lb CO2 per MMBtu</t>
  </si>
  <si>
    <t>H1 =A2xFxG/2205</t>
  </si>
  <si>
    <t>H2 =(1-A2)xFxG/2205</t>
  </si>
  <si>
    <t>F = E / 2205</t>
  </si>
  <si>
    <t>MMBtu energy</t>
  </si>
  <si>
    <t xml:space="preserve">This should be entered as a fraction, i.e. 0 &gt; x &gt; 1 </t>
  </si>
  <si>
    <r>
      <t xml:space="preserve"> metric tons CO</t>
    </r>
    <r>
      <rPr>
        <vertAlign val="subscript"/>
        <sz val="10"/>
        <rFont val="Arial"/>
        <family val="2"/>
      </rPr>
      <t>2</t>
    </r>
  </si>
  <si>
    <t>The intellectual property rights of this calculation tool belong to WRI and WBCSD, unless stated otherwise in any of the tools.</t>
  </si>
  <si>
    <t>Energy Content</t>
  </si>
  <si>
    <t>Fuel specific higher heating values</t>
  </si>
  <si>
    <t>Please cite the orginial reference when using this tool.</t>
  </si>
  <si>
    <t>Harvesting</t>
  </si>
  <si>
    <t>Product, by-product or waste transportation vehicles</t>
  </si>
  <si>
    <t>Debarking</t>
  </si>
  <si>
    <t>Chipping</t>
  </si>
  <si>
    <t>On-site power and steam boilers</t>
  </si>
  <si>
    <t>On-site combustion turbines</t>
  </si>
  <si>
    <t>Other fossil fuel-fired dryers</t>
  </si>
  <si>
    <t>Wastewater treatment operations</t>
  </si>
  <si>
    <t>Sludge processing</t>
  </si>
  <si>
    <r>
      <t xml:space="preserve">NCASI Spreadsheets for Calculating GHG Emissions from 
Wood Products Manufacturing Facilities
"English" Units
</t>
    </r>
    <r>
      <rPr>
        <b/>
        <sz val="14"/>
        <rFont val="Arial"/>
        <family val="2"/>
      </rPr>
      <t xml:space="preserve">
Workbook Version 1.0 </t>
    </r>
    <r>
      <rPr>
        <b/>
        <sz val="12"/>
        <rFont val="Arial"/>
        <family val="2"/>
      </rPr>
      <t>(see below for USER AGREEMENT)</t>
    </r>
  </si>
  <si>
    <r>
      <t xml:space="preserve">lb CO2 / MMBtu fuel*
</t>
    </r>
    <r>
      <rPr>
        <b/>
        <sz val="10"/>
        <color indexed="10"/>
        <rFont val="Arial"/>
        <family val="2"/>
      </rPr>
      <t>[based on higher heating value, gross calorific value]</t>
    </r>
  </si>
  <si>
    <r>
      <t xml:space="preserve">lb CH4 / MMBtu fuel 
</t>
    </r>
    <r>
      <rPr>
        <b/>
        <sz val="10"/>
        <color indexed="10"/>
        <rFont val="Arial"/>
        <family val="2"/>
      </rPr>
      <t>[based on higher heating value, gross calorific value]</t>
    </r>
  </si>
  <si>
    <r>
      <t xml:space="preserve">lb N2O / MMBtu fuel 
</t>
    </r>
    <r>
      <rPr>
        <b/>
        <sz val="10"/>
        <color indexed="10"/>
        <rFont val="Arial"/>
        <family val="2"/>
      </rPr>
      <t>[based on higher heating value, gross calorific value]</t>
    </r>
  </si>
  <si>
    <r>
      <t xml:space="preserve">lb CO2 equiv. / MMBtu fuel*
</t>
    </r>
    <r>
      <rPr>
        <b/>
        <sz val="10"/>
        <color indexed="10"/>
        <rFont val="Arial"/>
        <family val="2"/>
      </rPr>
      <t>[based on higher heating value, gross calorific value]</t>
    </r>
  </si>
  <si>
    <t>139 (USDOE 2003)</t>
  </si>
  <si>
    <t>Landfill receiving mill waste</t>
  </si>
  <si>
    <t>On-site vehicles and machinery</t>
  </si>
  <si>
    <t>Normal offices/workspace for mill employees</t>
  </si>
  <si>
    <t>Other Operation – describe:</t>
  </si>
  <si>
    <t>Core Operations that might be included in the inventory are listed below</t>
  </si>
  <si>
    <t>User enrty: Physical units:</t>
  </si>
  <si>
    <t>Gasoline / petrol 
Mobile 2-stroke engines, forestry</t>
  </si>
  <si>
    <t>Step 11</t>
  </si>
  <si>
    <t>Step 12</t>
  </si>
  <si>
    <t>T Total Fuel input</t>
  </si>
  <si>
    <t>Energy Unit used
in A, B, and C</t>
  </si>
  <si>
    <t>Assigned ratio of efficiencies</t>
  </si>
  <si>
    <t>Minimum ratio allowed by energy balance</t>
  </si>
  <si>
    <t>Maximum ratio allowed by energy balance</t>
  </si>
  <si>
    <t>G = ( A + B * F ) / ( C * F )</t>
  </si>
  <si>
    <t>H = G * F</t>
  </si>
  <si>
    <t>I = E * ( A / ( A + B * F ) )</t>
  </si>
  <si>
    <t>J = E - I</t>
  </si>
  <si>
    <t>K = I * 1000 / A</t>
  </si>
  <si>
    <t>L = J * 1000 / B</t>
  </si>
  <si>
    <t>kg CO2 / energy unit in D</t>
  </si>
  <si>
    <r>
      <t>Allowed input values for ratio of heat production efficiency to power production efficiency, e</t>
    </r>
    <r>
      <rPr>
        <vertAlign val="subscript"/>
        <sz val="10"/>
        <rFont val="Arial"/>
        <family val="2"/>
      </rPr>
      <t>h</t>
    </r>
    <r>
      <rPr>
        <sz val="10"/>
        <rFont val="Arial"/>
        <family val="0"/>
      </rPr>
      <t>/e</t>
    </r>
    <r>
      <rPr>
        <vertAlign val="subscript"/>
        <sz val="10"/>
        <rFont val="Arial"/>
        <family val="2"/>
      </rPr>
      <t>p</t>
    </r>
  </si>
  <si>
    <r>
      <t>e</t>
    </r>
    <r>
      <rPr>
        <vertAlign val="subscript"/>
        <sz val="10"/>
        <rFont val="Arial"/>
        <family val="2"/>
      </rPr>
      <t>p</t>
    </r>
    <r>
      <rPr>
        <sz val="10"/>
        <rFont val="Arial"/>
        <family val="0"/>
      </rPr>
      <t xml:space="preserve">  (efficiency of typical power production)</t>
    </r>
  </si>
  <si>
    <r>
      <t>e</t>
    </r>
    <r>
      <rPr>
        <vertAlign val="subscript"/>
        <sz val="10"/>
        <rFont val="Arial"/>
        <family val="2"/>
      </rPr>
      <t>h</t>
    </r>
    <r>
      <rPr>
        <sz val="10"/>
        <rFont val="Arial"/>
        <family val="0"/>
      </rPr>
      <t xml:space="preserve">  (efficiency of typical heat production)</t>
    </r>
  </si>
  <si>
    <r>
      <t>E</t>
    </r>
    <r>
      <rPr>
        <vertAlign val="subscript"/>
        <sz val="10"/>
        <rFont val="Arial"/>
        <family val="2"/>
      </rPr>
      <t>H</t>
    </r>
    <r>
      <rPr>
        <sz val="10"/>
        <rFont val="Arial"/>
        <family val="0"/>
      </rPr>
      <t xml:space="preserve">  Emissions share allocated to heat production</t>
    </r>
  </si>
  <si>
    <r>
      <t>E</t>
    </r>
    <r>
      <rPr>
        <vertAlign val="subscript"/>
        <sz val="10"/>
        <rFont val="Arial"/>
        <family val="2"/>
      </rPr>
      <t>P</t>
    </r>
    <r>
      <rPr>
        <sz val="10"/>
        <rFont val="Arial"/>
        <family val="0"/>
      </rPr>
      <t xml:space="preserve">  Emissions share allocated to electricity production</t>
    </r>
  </si>
  <si>
    <r>
      <t>e</t>
    </r>
    <r>
      <rPr>
        <vertAlign val="subscript"/>
        <sz val="10"/>
        <rFont val="Arial"/>
        <family val="2"/>
      </rPr>
      <t>h</t>
    </r>
    <r>
      <rPr>
        <sz val="10"/>
        <rFont val="Arial"/>
        <family val="0"/>
      </rPr>
      <t>/e</t>
    </r>
    <r>
      <rPr>
        <vertAlign val="subscript"/>
        <sz val="10"/>
        <rFont val="Arial"/>
        <family val="2"/>
      </rPr>
      <t>p</t>
    </r>
  </si>
  <si>
    <t>K = J * [0.045 lb/standard cubic foot] / [2205 lb/tonne]</t>
  </si>
  <si>
    <t>Note: On this sheet, Standard conditions refers to 0C and 1 atm pressure</t>
  </si>
  <si>
    <t>Quantity Placed
[Dry short tons]</t>
  </si>
  <si>
    <r>
      <t>Ultimate Methane Potential, Lo, 
[default for mill waste
Lo =3200 ft</t>
    </r>
    <r>
      <rPr>
        <vertAlign val="superscript"/>
        <sz val="10"/>
        <rFont val="Arial"/>
        <family val="2"/>
      </rPr>
      <t>3</t>
    </r>
    <r>
      <rPr>
        <sz val="10"/>
        <rFont val="Arial"/>
        <family val="0"/>
      </rPr>
      <t>/dry short ton]</t>
    </r>
  </si>
  <si>
    <t>The equations used to calculate emission allocations in the table above are mathematically identical to those in the current WRI default efficiency method.  However, they have been rearranged to allow the user to select a value for the parameter that controls the allocation (the ratio of efficiencies) in a way that is consistent with the energy balance for the CHP system.  The rearrangements have been made so that the assumptions inherrent to the efficiency method, and their implications, are more clear.  The equations make it clear that (a) the parameter that controls the allocation is the ratio of the efficiencies for heat and power generation, and (b) this ratio and the individual efficiencies are constrained by the energy balance.</t>
  </si>
  <si>
    <t>Example: Bark Boiler</t>
  </si>
  <si>
    <t>Bark</t>
  </si>
  <si>
    <t>Purch stm:</t>
  </si>
  <si>
    <t>Export pwr:</t>
  </si>
  <si>
    <r>
      <t xml:space="preserve">* Emission factor for solid biomass from Intergovernmental Panel on Climate Change (IPCC). 1997. </t>
    </r>
    <r>
      <rPr>
        <i/>
        <sz val="12"/>
        <rFont val="Arial"/>
        <family val="2"/>
      </rPr>
      <t>Revised 1996 IPCC Guidelines for National Greenhouse Gas Inventories: Reference Manual (Volume 3)</t>
    </r>
    <r>
      <rPr>
        <sz val="12"/>
        <rFont val="Arial"/>
        <family val="2"/>
      </rPr>
      <t xml:space="preserve">. Table 1.1, corrected for 1% unburned carbon per USEPA  </t>
    </r>
    <r>
      <rPr>
        <i/>
        <sz val="12"/>
        <rFont val="Arial"/>
        <family val="2"/>
      </rPr>
      <t>AP-42 Emission Factors for Wood Residue Combustion in Boilers – Supplement G</t>
    </r>
    <r>
      <rPr>
        <sz val="12"/>
        <rFont val="Arial"/>
        <family val="2"/>
      </rPr>
      <t>, July 2001.  United States Environmental Protection Agency. Washington, D.C.</t>
    </r>
  </si>
  <si>
    <t>United States Department of Energy (USDOE).  2003.  Instructions for Form EIA-1605 Voluntary Reporting of Greenhouse Gases For Data Through 2002.  Appendix B, Table B1.  U.S. Department of Energy Voluntary Reporting of Greenhouse Gases Energy Information Administration.  http://www.eia.doe.gov/pub/oiaf/1605/cdrom/pdf/1605INST02.pdf (14 Nov. 2003)</t>
  </si>
  <si>
    <t>* Includes a 2% correction (coal), 1% correction (petroleum products), or 0.5% correction (natural gas) for unoxidized carbon</t>
  </si>
  <si>
    <t xml:space="preserve">Step 4: Sum GHG emissions: </t>
  </si>
  <si>
    <t>59.8 (USDOE 2003)</t>
  </si>
  <si>
    <t>Distillate fuel in boilers
(No.1, No.2, No.4 fuel oil and diesel)</t>
  </si>
  <si>
    <t>Residual fuel oil in boilers
(No.5, No.6 fuel oil)</t>
  </si>
  <si>
    <t>Data for Method 3 - Landfills</t>
  </si>
  <si>
    <t>Waste type</t>
  </si>
  <si>
    <t>Landfill description</t>
  </si>
  <si>
    <t>Example: Landfill A</t>
  </si>
  <si>
    <t>Mill sludge, ash and misc.</t>
  </si>
  <si>
    <t>Quantity of gas collected
[dry standard cubic meters/yr]</t>
  </si>
  <si>
    <t>Efficiency of gas collection system
[default = 0.75]</t>
  </si>
  <si>
    <t>Methane content of gas
[default = 0.5]</t>
  </si>
  <si>
    <t>Fraction of collected gas that is burned
[default = 1.0]</t>
  </si>
  <si>
    <t xml:space="preserve">Methane emissions in metric tons </t>
  </si>
  <si>
    <t xml:space="preserve">Methane emissions in metric tons CO2 equivalents </t>
  </si>
  <si>
    <t>User entry: Source description</t>
  </si>
  <si>
    <t>metric tons CO2 equiv.</t>
  </si>
  <si>
    <t>Direct or Indirect - Mobile and Transportation Source Emissions</t>
  </si>
  <si>
    <t>Direct or Indirect Emissions - Waste Management</t>
  </si>
  <si>
    <r>
      <t xml:space="preserve">For </t>
    </r>
    <r>
      <rPr>
        <b/>
        <sz val="14"/>
        <color indexed="10"/>
        <rFont val="Arial"/>
        <family val="2"/>
      </rPr>
      <t>landfills</t>
    </r>
    <r>
      <rPr>
        <b/>
        <sz val="14"/>
        <rFont val="Arial"/>
        <family val="2"/>
      </rPr>
      <t xml:space="preserve"> and </t>
    </r>
    <r>
      <rPr>
        <b/>
        <sz val="14"/>
        <color indexed="10"/>
        <rFont val="Arial"/>
        <family val="2"/>
      </rPr>
      <t>anaerobic wastewater treatment and sludge digestion</t>
    </r>
    <r>
      <rPr>
        <b/>
        <sz val="14"/>
        <rFont val="Arial"/>
        <family val="2"/>
      </rPr>
      <t xml:space="preserve"> systems</t>
    </r>
  </si>
  <si>
    <r>
      <t xml:space="preserve">Methane emissions from landfills
</t>
    </r>
    <r>
      <rPr>
        <b/>
        <sz val="12"/>
        <rFont val="Arial"/>
        <family val="2"/>
      </rPr>
      <t>Note: Use only one of the following methods for each landfill.</t>
    </r>
  </si>
  <si>
    <r>
      <t xml:space="preserve">Methane emissions from anaerobic wastewater 
treatment or sludge digestion systems
</t>
    </r>
    <r>
      <rPr>
        <b/>
        <sz val="12"/>
        <rFont val="Arial"/>
        <family val="2"/>
      </rPr>
      <t>Note: Use only one of the following methods for each source.</t>
    </r>
  </si>
  <si>
    <t>L2</t>
  </si>
  <si>
    <t>L1</t>
  </si>
  <si>
    <t>Mobile &amp; Transportation</t>
  </si>
  <si>
    <t>Waste Mngmt.</t>
  </si>
  <si>
    <r>
      <t>Emissions of CH</t>
    </r>
    <r>
      <rPr>
        <vertAlign val="subscript"/>
        <sz val="12"/>
        <rFont val="Arial"/>
        <family val="2"/>
      </rPr>
      <t>4</t>
    </r>
    <r>
      <rPr>
        <sz val="12"/>
        <rFont val="Arial"/>
        <family val="2"/>
      </rPr>
      <t xml:space="preserve"> resulting from mill-owned landfills or anaerobic treatment operations</t>
    </r>
  </si>
  <si>
    <t xml:space="preserve">Method 2 - For landfills that cannot use Method 1.  </t>
  </si>
  <si>
    <t>H</t>
  </si>
  <si>
    <t>Fraction of uncollected methane that oxidizes in the landfill cover
[default = 0.1]</t>
  </si>
  <si>
    <t>Quantity of methane released
[dry standard cubic meters/yr]</t>
  </si>
  <si>
    <t>First order methane generation rate constant, k
[default for mill waste = 0.03 per year</t>
  </si>
  <si>
    <t>Years since landfill opened</t>
  </si>
  <si>
    <t>Years since landfill stopped receiving waste</t>
  </si>
  <si>
    <t>I</t>
  </si>
  <si>
    <t>J</t>
  </si>
  <si>
    <t>Use this space to provide a general description of operational boundaries.</t>
  </si>
  <si>
    <t>The following information is not directly used in the GHG emissions calculations but is intended to provide clarification of the type of facility for which the inventory is being performed.</t>
  </si>
  <si>
    <t>Year of Placement
(auto-calculated from information entered above in cells G54 and G55)</t>
  </si>
  <si>
    <t>1 gallon (US liquid - gal)</t>
  </si>
  <si>
    <t xml:space="preserve">Sum of mill landfill methane emissions from Methods 1, 2 &amp; 3: </t>
  </si>
  <si>
    <t xml:space="preserve">Use this space to provide additional information helpful to understanding the operational boundaries of the inventory. </t>
  </si>
  <si>
    <t xml:space="preserve">User enters information in spaces with this color  </t>
  </si>
  <si>
    <t>Natural gas (dry) - boilers and IR dryers</t>
  </si>
  <si>
    <t>Distillate fuel 
(No.1, No.2, No.4 fuel oil and diesel)
Mobile sources</t>
  </si>
  <si>
    <t>Step 8</t>
  </si>
  <si>
    <r>
      <t>Total direct CO</t>
    </r>
    <r>
      <rPr>
        <vertAlign val="subscript"/>
        <sz val="10"/>
        <rFont val="Arial"/>
        <family val="2"/>
      </rPr>
      <t>2</t>
    </r>
    <r>
      <rPr>
        <sz val="10"/>
        <rFont val="Arial"/>
        <family val="0"/>
      </rPr>
      <t xml:space="preserve"> emissions from generating the total electricity/steam</t>
    </r>
  </si>
  <si>
    <t>Introduction</t>
  </si>
  <si>
    <t>Table of Contents</t>
  </si>
  <si>
    <t>** Not corrected for unoxidized carbon</t>
  </si>
  <si>
    <t>Bituminous coal
Overfeed stoker boiler</t>
  </si>
  <si>
    <t>Bituminous coal
Underfeed stoker boiler</t>
  </si>
  <si>
    <t>Bituminous coal - Pulverized
Dry bottom, wall fired</t>
  </si>
  <si>
    <t>Bituminous coal - Pulverized
Dry bottom, tangential firing</t>
  </si>
  <si>
    <t>Bituminous coal - Pulverized
Wet bottom</t>
  </si>
  <si>
    <t>Bituminous coal
Spreader stoker boiler</t>
  </si>
  <si>
    <t>Bituminous coal - fluidized bed
Circulating or bubbling</t>
  </si>
  <si>
    <t>Sub-bituminous coal
Overfeed stoker boiler</t>
  </si>
  <si>
    <t>Sub-bituminous coal
Underfeed stoker boiler</t>
  </si>
  <si>
    <t>Sub-bituminous coal - fluidized bed
Circulating or bubbling</t>
  </si>
  <si>
    <t>Lignite</t>
  </si>
  <si>
    <t>Based on HHV - normally LHV assumed to be 95% of HHV for biomass fuels</t>
  </si>
  <si>
    <r>
      <t>This tool intends to facilitate the calculation of direct CO</t>
    </r>
    <r>
      <rPr>
        <vertAlign val="subscript"/>
        <sz val="12"/>
        <rFont val="Arial"/>
        <family val="2"/>
      </rPr>
      <t>2</t>
    </r>
    <r>
      <rPr>
        <sz val="12"/>
        <rFont val="Arial"/>
        <family val="2"/>
      </rPr>
      <t>, CH</t>
    </r>
    <r>
      <rPr>
        <vertAlign val="subscript"/>
        <sz val="12"/>
        <rFont val="Arial"/>
        <family val="2"/>
      </rPr>
      <t>4</t>
    </r>
    <r>
      <rPr>
        <sz val="12"/>
        <rFont val="Arial"/>
        <family val="2"/>
      </rPr>
      <t>, and N</t>
    </r>
    <r>
      <rPr>
        <vertAlign val="subscript"/>
        <sz val="12"/>
        <rFont val="Arial"/>
        <family val="2"/>
      </rPr>
      <t>2</t>
    </r>
    <r>
      <rPr>
        <sz val="12"/>
        <rFont val="Arial"/>
        <family val="2"/>
      </rPr>
      <t xml:space="preserve">O emissions from wood products manufacturing facilities and ancillary operations.  It also addresses emissions attributable to the purchase and export of electricity and/or steam. This document is to be used in conjunction with the report:
'Calculation Tools for Estimating Greenhouse Gas Emissions from Wood Products Manufacturing Facilities' 
</t>
    </r>
  </si>
  <si>
    <r>
      <t>Direct emissions of CO</t>
    </r>
    <r>
      <rPr>
        <vertAlign val="subscript"/>
        <sz val="12"/>
        <rFont val="Arial"/>
        <family val="2"/>
      </rPr>
      <t>2</t>
    </r>
    <r>
      <rPr>
        <sz val="12"/>
        <rFont val="Arial"/>
        <family val="2"/>
      </rPr>
      <t>, CH</t>
    </r>
    <r>
      <rPr>
        <vertAlign val="subscript"/>
        <sz val="12"/>
        <rFont val="Arial"/>
        <family val="2"/>
      </rPr>
      <t>4</t>
    </r>
    <r>
      <rPr>
        <sz val="12"/>
        <rFont val="Arial"/>
        <family val="2"/>
      </rPr>
      <t>, and N</t>
    </r>
    <r>
      <rPr>
        <vertAlign val="subscript"/>
        <sz val="12"/>
        <rFont val="Arial"/>
        <family val="2"/>
      </rPr>
      <t>2</t>
    </r>
    <r>
      <rPr>
        <sz val="12"/>
        <rFont val="Arial"/>
        <family val="2"/>
      </rPr>
      <t>O resulting from fuel combustion in stationary devices - includes emission factors from IPCC</t>
    </r>
  </si>
  <si>
    <t>Mechanical pulping/refining</t>
  </si>
  <si>
    <r>
      <t>CO</t>
    </r>
    <r>
      <rPr>
        <vertAlign val="subscript"/>
        <sz val="10"/>
        <rFont val="Arial"/>
        <family val="2"/>
      </rPr>
      <t>2</t>
    </r>
    <r>
      <rPr>
        <sz val="10"/>
        <rFont val="Arial"/>
        <family val="0"/>
      </rPr>
      <t xml:space="preserve"> emission factor
[Emission factors from IPCC are shown below]</t>
    </r>
  </si>
  <si>
    <r>
      <t>‡</t>
    </r>
    <r>
      <rPr>
        <sz val="10"/>
        <rFont val="Arial"/>
        <family val="2"/>
      </rPr>
      <t>Calculated from data in Instructions for Form EIA-1605b Voluntary Reporting of Greenhouse Gases, for Data Through 2002, US Department of Energy, Energy Information Administration, Form EIA-1605 (2003), OMB No. 1905-0194, Appendix B, Page 48, available on the internet at ftp://ftp.eia.doe.gov/pub/oiaf/1605/cdrom/pdf/1605INSTR02.pdf (31 October 2003)</t>
    </r>
  </si>
  <si>
    <t xml:space="preserve">Note:  Use this worksheet to calculate emissions from amount of fuel consumed. </t>
  </si>
  <si>
    <t>Fuel Higher Heating Value (HHV)</t>
  </si>
  <si>
    <t>Please cite the original reference when using this tool.</t>
  </si>
  <si>
    <t>Peat 
(CH4 and N2O factors are from biomass boilers)</t>
  </si>
  <si>
    <t>Propane**</t>
  </si>
  <si>
    <t>Jet Fuel**</t>
  </si>
  <si>
    <t>Should not be included in GHG inventory.
See Spreadsheet on "Supporting Info. On Biomass"</t>
  </si>
  <si>
    <t>Aviation gasoline**</t>
  </si>
  <si>
    <t xml:space="preserve"> </t>
  </si>
  <si>
    <t>Operations in Inventory</t>
  </si>
  <si>
    <t>Direct - Fuel Combust.</t>
  </si>
  <si>
    <t>E = A * C</t>
  </si>
  <si>
    <t>MWh</t>
  </si>
  <si>
    <r>
      <t>CO</t>
    </r>
    <r>
      <rPr>
        <vertAlign val="subscript"/>
        <sz val="10"/>
        <rFont val="Arial"/>
        <family val="2"/>
      </rPr>
      <t>2</t>
    </r>
    <r>
      <rPr>
        <sz val="10"/>
        <rFont val="Arial"/>
        <family val="0"/>
      </rPr>
      <t xml:space="preserve"> emission factor for imported electricity or steam*</t>
    </r>
  </si>
  <si>
    <t>Example&gt;&gt;</t>
  </si>
  <si>
    <t>Fraction of landfill gas that is collected</t>
  </si>
  <si>
    <t>K</t>
  </si>
  <si>
    <t>L</t>
  </si>
  <si>
    <t>Natural gas*</t>
  </si>
  <si>
    <t>Wood (40% H2O)**</t>
  </si>
  <si>
    <t>Wood (20% H2O)**</t>
  </si>
  <si>
    <t>Wood (15% H2O)**</t>
  </si>
  <si>
    <t>Wood (0% H2O)**</t>
  </si>
  <si>
    <t>** calculated based on LHV values contained in Revised 1996 IPCC Guidelines for National Greenhouse Gas Inventories:  Reference Manual Volume 3, Table 1-13; converted to HHV values based on the assumption that, for biomass fuels, LHV is 95% of HHV.</t>
  </si>
  <si>
    <r>
      <t>*Based on "standard conditions" of 60</t>
    </r>
    <r>
      <rPr>
        <vertAlign val="superscript"/>
        <sz val="10"/>
        <rFont val="Arial"/>
        <family val="2"/>
      </rPr>
      <t>o</t>
    </r>
    <r>
      <rPr>
        <sz val="10"/>
        <rFont val="Arial"/>
        <family val="2"/>
      </rPr>
      <t>F (15.6</t>
    </r>
    <r>
      <rPr>
        <vertAlign val="superscript"/>
        <sz val="10"/>
        <rFont val="Arial"/>
        <family val="2"/>
      </rPr>
      <t>o</t>
    </r>
    <r>
      <rPr>
        <sz val="10"/>
        <rFont val="Arial"/>
        <family val="2"/>
      </rPr>
      <t>C) and 1 atm pressure, per API</t>
    </r>
  </si>
  <si>
    <t>Natural gas***</t>
  </si>
  <si>
    <r>
      <t>*** Based on "standard conditions" of 60</t>
    </r>
    <r>
      <rPr>
        <vertAlign val="superscript"/>
        <sz val="9"/>
        <color indexed="8"/>
        <rFont val="Arial"/>
        <family val="2"/>
      </rPr>
      <t>o</t>
    </r>
    <r>
      <rPr>
        <sz val="9"/>
        <color indexed="8"/>
        <rFont val="Arial"/>
        <family val="2"/>
      </rPr>
      <t>F (15.6</t>
    </r>
    <r>
      <rPr>
        <vertAlign val="superscript"/>
        <sz val="9"/>
        <color indexed="8"/>
        <rFont val="Arial"/>
        <family val="2"/>
      </rPr>
      <t>o</t>
    </r>
    <r>
      <rPr>
        <sz val="9"/>
        <color indexed="8"/>
        <rFont val="Arial"/>
        <family val="2"/>
      </rPr>
      <t>C) and 1 atm pressure, per API</t>
    </r>
  </si>
  <si>
    <t>J = (F*(1-H)*(1-G))+(F*H*(1-I))</t>
  </si>
  <si>
    <t>Fraction of collected landfill gas that is burned</t>
  </si>
  <si>
    <t>D = (A * B) - C</t>
  </si>
  <si>
    <t>Summarizes results of inventory</t>
  </si>
  <si>
    <t>Name of Inventory</t>
  </si>
  <si>
    <t>General description of inventory boundaries</t>
  </si>
  <si>
    <t>Summary of Inventory Results</t>
  </si>
  <si>
    <t>Direct - Waste Mngmt.</t>
  </si>
  <si>
    <t>CHP Allocation</t>
  </si>
  <si>
    <t>Indirect - Energy Imports</t>
  </si>
  <si>
    <t>Indirect - Energy Exports</t>
  </si>
  <si>
    <t>Summary Table</t>
  </si>
  <si>
    <t>System description</t>
  </si>
  <si>
    <t>Text explanation</t>
  </si>
  <si>
    <t>Factors for converting among common units of measure</t>
  </si>
  <si>
    <t>* Emission factors for purchased electricity can normally be obtained from national authorities or from the supplier of the purchased electricity.
  Emission factors for imported electricity or steam from CHP systems can be determined by the methods outlined in the "CHP Allocation" worksheet.</t>
  </si>
  <si>
    <t>Emission factor for heat production</t>
  </si>
  <si>
    <t>Emission factor for electricity production</t>
  </si>
  <si>
    <t>Step 9</t>
  </si>
  <si>
    <t>Step 10</t>
  </si>
  <si>
    <t>Use methods outlined in "Direct - Fuel Combust."</t>
  </si>
  <si>
    <t>Natural gas (dry) - turbines</t>
  </si>
  <si>
    <t>Optional Calculator</t>
  </si>
  <si>
    <t>E1</t>
  </si>
  <si>
    <t>E2</t>
  </si>
  <si>
    <t>G1</t>
  </si>
  <si>
    <t>G2</t>
  </si>
  <si>
    <t xml:space="preserve"> = Distance traveled</t>
  </si>
  <si>
    <t>Fuel used</t>
  </si>
  <si>
    <t>Energy used</t>
  </si>
  <si>
    <t>Emissions Factor</t>
  </si>
  <si>
    <t xml:space="preserve"> = miles per gallon</t>
  </si>
  <si>
    <t>Type of Fuel Used</t>
  </si>
  <si>
    <t>metric tonnes</t>
  </si>
  <si>
    <t>kWh</t>
  </si>
  <si>
    <t xml:space="preserve">        OR</t>
  </si>
  <si>
    <t>Amount of</t>
  </si>
  <si>
    <t>Fuel</t>
  </si>
  <si>
    <t>Custom</t>
  </si>
  <si>
    <t>Used</t>
  </si>
  <si>
    <t xml:space="preserve"> = litres per 100 km</t>
  </si>
  <si>
    <t>Source Description</t>
  </si>
  <si>
    <t>fuel used</t>
  </si>
  <si>
    <t>Units</t>
  </si>
  <si>
    <t>Type</t>
  </si>
  <si>
    <t>F = B x E</t>
  </si>
  <si>
    <t>Metric ton  CO2</t>
  </si>
  <si>
    <t>Road transportation</t>
  </si>
  <si>
    <t>Sample fleet</t>
  </si>
  <si>
    <t>US gals</t>
  </si>
  <si>
    <t>Gasoline</t>
  </si>
  <si>
    <t>Imp. gals</t>
  </si>
  <si>
    <t>litres</t>
  </si>
  <si>
    <t>Metric tonnes</t>
  </si>
  <si>
    <t>Diesel</t>
  </si>
  <si>
    <t>lbs.</t>
  </si>
  <si>
    <t>CNG</t>
  </si>
  <si>
    <t>kg</t>
  </si>
  <si>
    <t xml:space="preserve">Rail transportation </t>
  </si>
  <si>
    <t>Imp gals</t>
  </si>
  <si>
    <t>Barrels</t>
  </si>
  <si>
    <t>Short tons</t>
  </si>
  <si>
    <t>Other fuel</t>
  </si>
  <si>
    <t xml:space="preserve">Water transportation </t>
  </si>
  <si>
    <t>Last row above totals enter no data here</t>
  </si>
  <si>
    <t>Residual Fuel oil#4</t>
  </si>
  <si>
    <t>Residual Fuel oil#5</t>
  </si>
  <si>
    <t>Residual Fuel oil#6</t>
  </si>
  <si>
    <t>Sub-bituminous coal</t>
  </si>
  <si>
    <t>F1</t>
  </si>
  <si>
    <t>Unit used to measure quantitiy of fuel use
[Note: Be careful not to mix HHVs and LHVs.]</t>
  </si>
  <si>
    <t>This worksheet is for showing which operations are included in the inventory</t>
  </si>
  <si>
    <t>Place an "X" below where appropriate to indentify operations included in the inventory</t>
  </si>
  <si>
    <t>Unless noted otherwise, all emission factors are from:  Intergovernmental Panel on Climate Change (IPCC).  1997.  Revised 1996 IPCC guidelines for national greenhouse gas inventories:  Reference manual (volume 3).  IPCC National Greenhouse Gas Inventory Program.  http://www.ipcc-nggip.iges.or.jp/public/gl/invs6.htm ( as of 2 July 2003).
Converted from a LHV basis to a HHV basis using relations described in the report Calculation Tools for Estimating Greenhouse Gas Emissions from Wood Products Maufacturing Facilities</t>
  </si>
  <si>
    <t>*Emission factors include a 2% correction (coal), 1% correction (petroleum products), or 0.5% correction (natural gas) for unoxidized carbon</t>
  </si>
  <si>
    <t>Emission factors from IPCC and from WRI/WBCSD are shown below</t>
  </si>
  <si>
    <t>Higher Heating Values</t>
  </si>
  <si>
    <t>lb CO2 / MMBtu HHV*</t>
  </si>
  <si>
    <t>156 (USDOE 2003)</t>
  </si>
  <si>
    <t>153 (USDOE 2003)</t>
  </si>
  <si>
    <t>0.130 MMBtu/gal</t>
  </si>
  <si>
    <t>0.135 MMBtu/gal</t>
  </si>
  <si>
    <t>0.137 MMBtu/gal</t>
  </si>
  <si>
    <t>0.140 MMBtu/gal</t>
  </si>
  <si>
    <t>0.143 MMBtu/gal</t>
  </si>
  <si>
    <t>0.150 MMBtu/gal</t>
  </si>
  <si>
    <t>0.153 MMBtu/gal</t>
  </si>
  <si>
    <t>0.0940 MMBtu/gal</t>
  </si>
  <si>
    <t>0.0125 MMBtu/lb</t>
  </si>
  <si>
    <t>0.0135 MMBtu/lb</t>
  </si>
  <si>
    <t>0.0905 MMBtu/gal</t>
  </si>
  <si>
    <t>0.00874 MMBtu/lb</t>
  </si>
  <si>
    <r>
      <t>1050 Btu/ft</t>
    </r>
    <r>
      <rPr>
        <vertAlign val="superscript"/>
        <sz val="10"/>
        <rFont val="Arial"/>
        <family val="2"/>
      </rPr>
      <t>3</t>
    </r>
  </si>
  <si>
    <t>6.17 lb/gal</t>
  </si>
  <si>
    <t>6.76 lb/gal</t>
  </si>
  <si>
    <t>7.10 lb/gal</t>
  </si>
  <si>
    <t>7.05 lb/gal</t>
  </si>
  <si>
    <t>7.59 lb/gal</t>
  </si>
  <si>
    <t>7.93 lb/gal</t>
  </si>
  <si>
    <t>8.45 lb/gal</t>
  </si>
  <si>
    <t>4.52 lb/gal (liquid)</t>
  </si>
  <si>
    <t>4.24 lb/gal (liquid)</t>
  </si>
  <si>
    <r>
      <t>0.042 lb/ft</t>
    </r>
    <r>
      <rPr>
        <vertAlign val="superscript"/>
        <sz val="10"/>
        <rFont val="Arial"/>
        <family val="2"/>
      </rPr>
      <t>3</t>
    </r>
  </si>
  <si>
    <t>Residual #4</t>
  </si>
  <si>
    <t>Bituminous Coal</t>
  </si>
  <si>
    <t>From API</t>
  </si>
  <si>
    <r>
      <t xml:space="preserve">Method 1 - For landfills with low permeability caps and effective gas recovery systems 
</t>
    </r>
    <r>
      <rPr>
        <b/>
        <sz val="12"/>
        <color indexed="10"/>
        <rFont val="Arial"/>
        <family val="2"/>
      </rPr>
      <t>where measurements are made of amounts of gas collected
IT IS IMPORTANT TO NOT ESTIMATE EMISSIONS FOR A SINGLE LANDFILL BY MORE THAN ONE METHOD TO AVOID DOUBLE COUNTING!</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</si>
</sst>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_(* #,##0.0_);_(* \(#,##0.0\);_(* &quot;-&quot;??_);_(@_)"/>
    <numFmt numFmtId="170" formatCode="0.00&quot; *&quot;"/>
    <numFmt numFmtId="171" formatCode="###0.00_)"/>
    <numFmt numFmtId="172" formatCode="0.0_W"/>
    <numFmt numFmtId="173" formatCode="#,##0_)"/>
    <numFmt numFmtId="174" formatCode="#,##0.0\ &quot;l/100km&quot;"/>
    <numFmt numFmtId="175" formatCode="#,##0.00000"/>
    <numFmt numFmtId="176" formatCode="0.000000E+00"/>
    <numFmt numFmtId="177" formatCode="&quot;Yes&quot;;&quot;Yes&quot;;&quot;No&quot;"/>
    <numFmt numFmtId="178" formatCode="&quot;True&quot;;&quot;True&quot;;&quot;False&quot;"/>
    <numFmt numFmtId="179" formatCode="&quot;On&quot;;&quot;On&quot;;&quot;Off&quot;"/>
    <numFmt numFmtId="180" formatCode="[$€-2]\ #,##0.00_);[Red]\([$€-2]\ #,##0.00\)"/>
    <numFmt numFmtId="181" formatCode="#,##0.0000"/>
  </numFmts>
  <fonts count="103">
    <font>
      <sz val="10"/>
      <name val="Arial"/>
      <family val="0"/>
    </font>
    <font>
      <sz val="12"/>
      <name val="Arial"/>
      <family val="2"/>
    </font>
    <font>
      <b/>
      <sz val="10"/>
      <name val="Arial"/>
      <family val="2"/>
    </font>
    <font>
      <sz val="10"/>
      <color indexed="47"/>
      <name val="Arial"/>
      <family val="2"/>
    </font>
    <font>
      <sz val="10"/>
      <color indexed="9"/>
      <name val="Arial"/>
      <family val="2"/>
    </font>
    <font>
      <b/>
      <sz val="10"/>
      <color indexed="9"/>
      <name val="Arial"/>
      <family val="2"/>
    </font>
    <font>
      <b/>
      <sz val="12"/>
      <name val="Arial"/>
      <family val="2"/>
    </font>
    <font>
      <sz val="14"/>
      <name val="Arial"/>
      <family val="2"/>
    </font>
    <font>
      <u val="single"/>
      <sz val="10"/>
      <color indexed="12"/>
      <name val="Arial"/>
      <family val="0"/>
    </font>
    <font>
      <u val="single"/>
      <sz val="10"/>
      <color indexed="36"/>
      <name val="Arial"/>
      <family val="0"/>
    </font>
    <font>
      <sz val="1"/>
      <name val="Arial"/>
      <family val="0"/>
    </font>
    <font>
      <b/>
      <vertAlign val="subscript"/>
      <sz val="10"/>
      <name val="Arial"/>
      <family val="2"/>
    </font>
    <font>
      <sz val="9"/>
      <name val="Arial"/>
      <family val="2"/>
    </font>
    <font>
      <b/>
      <sz val="11"/>
      <name val="Arial"/>
      <family val="2"/>
    </font>
    <font>
      <sz val="8"/>
      <name val="Arial"/>
      <family val="2"/>
    </font>
    <font>
      <b/>
      <sz val="8"/>
      <name val="Arial"/>
      <family val="2"/>
    </font>
    <font>
      <vertAlign val="superscript"/>
      <sz val="12"/>
      <name val="Arial"/>
      <family val="2"/>
    </font>
    <font>
      <vertAlign val="subscript"/>
      <sz val="12"/>
      <name val="Arial"/>
      <family val="2"/>
    </font>
    <font>
      <b/>
      <sz val="14"/>
      <name val="Arial"/>
      <family val="2"/>
    </font>
    <font>
      <b/>
      <sz val="10"/>
      <color indexed="10"/>
      <name val="Arial"/>
      <family val="2"/>
    </font>
    <font>
      <vertAlign val="subscript"/>
      <sz val="10"/>
      <name val="Arial"/>
      <family val="2"/>
    </font>
    <font>
      <b/>
      <u val="single"/>
      <sz val="11"/>
      <name val="Arial"/>
      <family val="2"/>
    </font>
    <font>
      <b/>
      <sz val="8"/>
      <name val="Tahoma"/>
      <family val="0"/>
    </font>
    <font>
      <b/>
      <sz val="12"/>
      <color indexed="10"/>
      <name val="Arial"/>
      <family val="2"/>
    </font>
    <font>
      <b/>
      <sz val="18"/>
      <name val="Arial"/>
      <family val="2"/>
    </font>
    <font>
      <b/>
      <sz val="16"/>
      <name val="Arial"/>
      <family val="2"/>
    </font>
    <font>
      <sz val="18"/>
      <name val="Arial"/>
      <family val="2"/>
    </font>
    <font>
      <b/>
      <sz val="11"/>
      <color indexed="10"/>
      <name val="Arial"/>
      <family val="2"/>
    </font>
    <font>
      <b/>
      <i/>
      <sz val="14"/>
      <name val="Arial"/>
      <family val="2"/>
    </font>
    <font>
      <b/>
      <u val="single"/>
      <sz val="12"/>
      <name val="Arial"/>
      <family val="2"/>
    </font>
    <font>
      <b/>
      <i/>
      <sz val="12"/>
      <name val="Arial"/>
      <family val="2"/>
    </font>
    <font>
      <b/>
      <sz val="14"/>
      <color indexed="10"/>
      <name val="Arial"/>
      <family val="2"/>
    </font>
    <font>
      <b/>
      <u val="single"/>
      <sz val="16"/>
      <name val="Arial"/>
      <family val="2"/>
    </font>
    <font>
      <sz val="16"/>
      <name val="Arial"/>
      <family val="2"/>
    </font>
    <font>
      <sz val="12"/>
      <name val="Helv"/>
      <family val="0"/>
    </font>
    <font>
      <b/>
      <sz val="12"/>
      <name val="Helv"/>
      <family val="0"/>
    </font>
    <font>
      <sz val="9"/>
      <name val="Helv"/>
      <family val="0"/>
    </font>
    <font>
      <vertAlign val="superscript"/>
      <sz val="12"/>
      <name val="Helv"/>
      <family val="0"/>
    </font>
    <font>
      <sz val="10"/>
      <name val="Helv"/>
      <family val="0"/>
    </font>
    <font>
      <b/>
      <sz val="9"/>
      <name val="Helv"/>
      <family val="0"/>
    </font>
    <font>
      <sz val="8.5"/>
      <name val="Helv"/>
      <family val="0"/>
    </font>
    <font>
      <b/>
      <sz val="10"/>
      <name val="Helv"/>
      <family val="0"/>
    </font>
    <font>
      <sz val="8"/>
      <name val="Helv"/>
      <family val="0"/>
    </font>
    <font>
      <b/>
      <sz val="14"/>
      <name val="Helv"/>
      <family val="0"/>
    </font>
    <font>
      <b/>
      <i/>
      <sz val="10"/>
      <name val="Arial"/>
      <family val="2"/>
    </font>
    <font>
      <sz val="9"/>
      <color indexed="18"/>
      <name val="Arial"/>
      <family val="2"/>
    </font>
    <font>
      <b/>
      <sz val="12"/>
      <color indexed="11"/>
      <name val="Arial"/>
      <family val="2"/>
    </font>
    <font>
      <sz val="9"/>
      <color indexed="11"/>
      <name val="Arial"/>
      <family val="2"/>
    </font>
    <font>
      <sz val="10"/>
      <color indexed="11"/>
      <name val="Arial"/>
      <family val="2"/>
    </font>
    <font>
      <b/>
      <sz val="9"/>
      <color indexed="52"/>
      <name val="Arial"/>
      <family val="2"/>
    </font>
    <font>
      <b/>
      <sz val="9"/>
      <color indexed="11"/>
      <name val="Arial"/>
      <family val="2"/>
    </font>
    <font>
      <b/>
      <sz val="9"/>
      <name val="Arial"/>
      <family val="0"/>
    </font>
    <font>
      <sz val="9"/>
      <color indexed="8"/>
      <name val="Arial"/>
      <family val="2"/>
    </font>
    <font>
      <b/>
      <sz val="9"/>
      <color indexed="9"/>
      <name val="Arial"/>
      <family val="2"/>
    </font>
    <font>
      <sz val="9"/>
      <color indexed="9"/>
      <name val="Arial"/>
      <family val="2"/>
    </font>
    <font>
      <b/>
      <sz val="10"/>
      <color indexed="52"/>
      <name val="Arial"/>
      <family val="2"/>
    </font>
    <font>
      <b/>
      <sz val="9"/>
      <color indexed="8"/>
      <name val="Arial"/>
      <family val="0"/>
    </font>
    <font>
      <sz val="8"/>
      <color indexed="8"/>
      <name val="Arial"/>
      <family val="2"/>
    </font>
    <font>
      <sz val="10"/>
      <color indexed="8"/>
      <name val="Arial"/>
      <family val="2"/>
    </font>
    <font>
      <sz val="9"/>
      <color indexed="27"/>
      <name val="Arial"/>
      <family val="2"/>
    </font>
    <font>
      <b/>
      <vertAlign val="subscript"/>
      <sz val="12"/>
      <name val="Arial"/>
      <family val="2"/>
    </font>
    <font>
      <b/>
      <sz val="18"/>
      <color indexed="8"/>
      <name val="Arial"/>
      <family val="2"/>
    </font>
    <font>
      <b/>
      <sz val="10"/>
      <color indexed="8"/>
      <name val="Arial"/>
      <family val="2"/>
    </font>
    <font>
      <b/>
      <sz val="18"/>
      <color indexed="10"/>
      <name val="Arial"/>
      <family val="2"/>
    </font>
    <font>
      <sz val="11"/>
      <name val="Arial"/>
      <family val="2"/>
    </font>
    <font>
      <sz val="10"/>
      <color indexed="10"/>
      <name val="Arial"/>
      <family val="2"/>
    </font>
    <font>
      <i/>
      <sz val="11"/>
      <name val="Arial"/>
      <family val="2"/>
    </font>
    <font>
      <b/>
      <sz val="8"/>
      <color indexed="8"/>
      <name val="Arial"/>
      <family val="0"/>
    </font>
    <font>
      <b/>
      <vertAlign val="subscript"/>
      <sz val="14"/>
      <color indexed="10"/>
      <name val="Arial"/>
      <family val="2"/>
    </font>
    <font>
      <b/>
      <sz val="16"/>
      <color indexed="10"/>
      <name val="Arial"/>
      <family val="2"/>
    </font>
    <font>
      <b/>
      <sz val="11"/>
      <color indexed="8"/>
      <name val="Arial"/>
      <family val="2"/>
    </font>
    <font>
      <vertAlign val="superscript"/>
      <sz val="10"/>
      <name val="Arial"/>
      <family val="2"/>
    </font>
    <font>
      <i/>
      <sz val="12"/>
      <name val="Arial"/>
      <family val="2"/>
    </font>
    <font>
      <vertAlign val="superscript"/>
      <sz val="9"/>
      <color indexed="8"/>
      <name val="Arial"/>
      <family val="2"/>
    </font>
    <font>
      <b/>
      <vertAlign val="subscript"/>
      <sz val="16"/>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4"/>
        <bgColor indexed="64"/>
      </patternFill>
    </fill>
    <fill>
      <patternFill patternType="solid">
        <fgColor indexed="62"/>
        <bgColor indexed="64"/>
      </patternFill>
    </fill>
    <fill>
      <patternFill patternType="solid">
        <fgColor indexed="18"/>
        <bgColor indexed="64"/>
      </patternFill>
    </fill>
    <fill>
      <patternFill patternType="solid">
        <fgColor indexed="41"/>
        <bgColor indexed="64"/>
      </patternFill>
    </fill>
    <fill>
      <patternFill patternType="darkDown">
        <bgColor indexed="22"/>
      </patternFill>
    </fill>
    <fill>
      <patternFill patternType="solid">
        <fgColor indexed="57"/>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8"/>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color indexed="63"/>
      </bottom>
    </border>
    <border>
      <left style="thin"/>
      <right style="thin"/>
      <top style="thin"/>
      <bottom style="double"/>
    </border>
    <border>
      <left style="double"/>
      <right style="thin"/>
      <top style="double"/>
      <bottom style="double"/>
    </border>
    <border>
      <left style="double"/>
      <right style="thin"/>
      <top style="double"/>
      <bottom style="thin"/>
    </border>
    <border>
      <left style="double"/>
      <right style="thin"/>
      <top style="thin"/>
      <bottom style="thin"/>
    </border>
    <border>
      <left style="thin"/>
      <right style="double"/>
      <top>
        <color indexed="63"/>
      </top>
      <bottom>
        <color indexed="63"/>
      </bottom>
    </border>
    <border>
      <left style="thin"/>
      <right style="double"/>
      <top>
        <color indexed="63"/>
      </top>
      <bottom style="double"/>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color indexed="63"/>
      </bottom>
    </border>
    <border>
      <left>
        <color indexed="63"/>
      </left>
      <right>
        <color indexed="63"/>
      </right>
      <top style="medium">
        <color indexed="9"/>
      </top>
      <bottom style="medium">
        <color indexed="9"/>
      </bottom>
    </border>
    <border>
      <left style="thin"/>
      <right style="thin"/>
      <top style="thin"/>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color indexed="62"/>
      </top>
      <bottom style="medium">
        <color indexed="62"/>
      </bottom>
    </border>
    <border>
      <left>
        <color indexed="63"/>
      </left>
      <right style="double"/>
      <top style="medium">
        <color indexed="9"/>
      </top>
      <bottom style="medium">
        <color indexed="9"/>
      </bottom>
    </border>
    <border>
      <left>
        <color indexed="63"/>
      </left>
      <right style="double"/>
      <top style="medium">
        <color indexed="9"/>
      </top>
      <bottom>
        <color indexed="63"/>
      </bottom>
    </border>
    <border>
      <left style="thin"/>
      <right style="thin"/>
      <top>
        <color indexed="63"/>
      </top>
      <bottom style="mediu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color indexed="63"/>
      </left>
      <right style="thin"/>
      <top>
        <color indexed="63"/>
      </top>
      <bottom style="thick">
        <color indexed="10"/>
      </bottom>
    </border>
    <border>
      <left>
        <color indexed="63"/>
      </left>
      <right style="thin"/>
      <top style="thick">
        <color indexed="10"/>
      </top>
      <bottom>
        <color indexed="63"/>
      </bottom>
    </border>
    <border>
      <left>
        <color indexed="63"/>
      </left>
      <right>
        <color indexed="63"/>
      </right>
      <top style="thick">
        <color indexed="10"/>
      </top>
      <bottom style="medium">
        <color indexed="62"/>
      </bottom>
    </border>
    <border>
      <left>
        <color indexed="63"/>
      </left>
      <right>
        <color indexed="63"/>
      </right>
      <top style="medium">
        <color indexed="62"/>
      </top>
      <bottom style="thick">
        <color indexed="10"/>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double"/>
      <right style="thin"/>
      <top>
        <color indexed="63"/>
      </top>
      <bottom>
        <color indexed="63"/>
      </bottom>
    </border>
    <border>
      <left style="thin"/>
      <right style="thin"/>
      <top style="medium"/>
      <bottom style="thin"/>
    </border>
    <border>
      <left style="thin"/>
      <right>
        <color indexed="63"/>
      </right>
      <top>
        <color indexed="63"/>
      </top>
      <bottom style="thin"/>
    </border>
    <border>
      <left>
        <color indexed="63"/>
      </left>
      <right>
        <color indexed="63"/>
      </right>
      <top style="double"/>
      <bottom style="thin"/>
    </border>
    <border>
      <left style="double"/>
      <right style="double"/>
      <top>
        <color indexed="63"/>
      </top>
      <bottom>
        <color indexed="63"/>
      </bottom>
    </border>
    <border>
      <left>
        <color indexed="63"/>
      </left>
      <right>
        <color indexed="63"/>
      </right>
      <top>
        <color indexed="63"/>
      </top>
      <bottom style="medium"/>
    </border>
    <border>
      <left>
        <color indexed="63"/>
      </left>
      <right>
        <color indexed="63"/>
      </right>
      <top style="medium">
        <color indexed="9"/>
      </top>
      <bottom>
        <color indexed="63"/>
      </bottom>
    </border>
    <border>
      <left style="thin"/>
      <right>
        <color indexed="63"/>
      </right>
      <top style="medium">
        <color indexed="9"/>
      </top>
      <bottom>
        <color indexed="63"/>
      </bottom>
    </border>
    <border>
      <left style="thin"/>
      <right style="double"/>
      <top style="double"/>
      <bottom style="double"/>
    </border>
    <border>
      <left style="thin"/>
      <right>
        <color indexed="63"/>
      </right>
      <top style="thin"/>
      <bottom>
        <color indexed="63"/>
      </bottom>
    </border>
    <border>
      <left>
        <color indexed="63"/>
      </left>
      <right>
        <color indexed="63"/>
      </right>
      <top>
        <color indexed="63"/>
      </top>
      <bottom style="medium">
        <color indexed="9"/>
      </bottom>
    </border>
    <border>
      <left style="double"/>
      <right style="double"/>
      <top>
        <color indexed="63"/>
      </top>
      <bottom style="double"/>
    </border>
    <border>
      <left>
        <color indexed="63"/>
      </left>
      <right style="thin"/>
      <top style="thin"/>
      <bottom>
        <color indexed="63"/>
      </bottom>
    </border>
    <border>
      <left style="thin"/>
      <right style="double"/>
      <top style="thin"/>
      <bottom style="thin"/>
    </border>
    <border>
      <left style="thin"/>
      <right style="double"/>
      <top style="thin"/>
      <bottom style="double"/>
    </border>
    <border>
      <left style="double"/>
      <right style="thin"/>
      <top style="thin"/>
      <bottom style="double"/>
    </border>
    <border>
      <left style="thin"/>
      <right style="thin"/>
      <top style="medium"/>
      <bottom>
        <color indexed="63"/>
      </bottom>
    </border>
    <border>
      <left>
        <color indexed="63"/>
      </left>
      <right>
        <color indexed="63"/>
      </right>
      <top style="thin"/>
      <bottom style="medium"/>
    </border>
    <border>
      <left style="thin"/>
      <right style="thin"/>
      <top style="medium"/>
      <bottom style="medium">
        <color indexed="9"/>
      </bottom>
    </border>
    <border>
      <left style="thin"/>
      <right>
        <color indexed="63"/>
      </right>
      <top style="thin"/>
      <bottom style="double"/>
    </border>
    <border>
      <left>
        <color indexed="63"/>
      </left>
      <right style="thin"/>
      <top style="thin"/>
      <bottom style="double"/>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0" fontId="3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3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3" fontId="36" fillId="0" borderId="3" applyAlignment="0">
      <protection/>
    </xf>
    <xf numFmtId="173" fontId="36" fillId="0" borderId="3">
      <alignment horizontal="right" vertical="center"/>
      <protection/>
    </xf>
    <xf numFmtId="49" fontId="37" fillId="0" borderId="3">
      <alignment horizontal="left" vertical="center"/>
      <protection/>
    </xf>
    <xf numFmtId="171" fontId="38" fillId="0" borderId="3" applyNumberFormat="0" applyFill="0">
      <alignment horizontal="right"/>
      <protection/>
    </xf>
    <xf numFmtId="172" fontId="38" fillId="0" borderId="3">
      <alignment horizontal="right"/>
      <protection/>
    </xf>
    <xf numFmtId="0" fontId="0" fillId="0" borderId="0" applyFont="0" applyFill="0" applyBorder="0" applyAlignment="0" applyProtection="0"/>
    <xf numFmtId="0" fontId="94" fillId="0" borderId="0" applyNumberForma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95" fillId="29" borderId="0" applyNumberFormat="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96" fillId="0" borderId="4" applyNumberFormat="0" applyFill="0" applyAlignment="0" applyProtection="0"/>
    <xf numFmtId="0" fontId="96" fillId="0" borderId="0" applyNumberFormat="0" applyFill="0" applyBorder="0" applyAlignment="0" applyProtection="0"/>
    <xf numFmtId="0" fontId="39" fillId="0" borderId="3">
      <alignment horizontal="left"/>
      <protection/>
    </xf>
    <xf numFmtId="0" fontId="39" fillId="0" borderId="5">
      <alignment horizontal="right" vertical="center"/>
      <protection/>
    </xf>
    <xf numFmtId="0" fontId="40" fillId="0" borderId="3">
      <alignment horizontal="left" vertical="center"/>
      <protection/>
    </xf>
    <xf numFmtId="0" fontId="38" fillId="0" borderId="3">
      <alignment horizontal="left" vertical="center"/>
      <protection/>
    </xf>
    <xf numFmtId="0" fontId="41" fillId="0" borderId="3">
      <alignment horizontal="left"/>
      <protection/>
    </xf>
    <xf numFmtId="0" fontId="41" fillId="30" borderId="0">
      <alignment horizontal="centerContinuous" wrapText="1"/>
      <protection/>
    </xf>
    <xf numFmtId="49" fontId="41" fillId="30" borderId="6">
      <alignment horizontal="left" vertical="center"/>
      <protection/>
    </xf>
    <xf numFmtId="0" fontId="41" fillId="30" borderId="0">
      <alignment horizontal="centerContinuous" vertical="center" wrapText="1"/>
      <protection/>
    </xf>
    <xf numFmtId="0" fontId="8" fillId="0" borderId="0" applyNumberFormat="0" applyFill="0" applyBorder="0" applyAlignment="0" applyProtection="0"/>
    <xf numFmtId="0" fontId="97" fillId="31" borderId="1" applyNumberFormat="0" applyAlignment="0" applyProtection="0"/>
    <xf numFmtId="0" fontId="98" fillId="0" borderId="7" applyNumberFormat="0" applyFill="0" applyAlignment="0" applyProtection="0"/>
    <xf numFmtId="41"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99" fillId="32" borderId="0" applyNumberFormat="0" applyBorder="0" applyAlignment="0" applyProtection="0"/>
    <xf numFmtId="0" fontId="0" fillId="33" borderId="8" applyNumberFormat="0" applyFont="0" applyAlignment="0" applyProtection="0"/>
    <xf numFmtId="0" fontId="100" fillId="27" borderId="9" applyNumberFormat="0" applyAlignment="0" applyProtection="0"/>
    <xf numFmtId="9" fontId="0" fillId="0" borderId="0" applyFont="0" applyFill="0" applyBorder="0" applyAlignment="0" applyProtection="0"/>
    <xf numFmtId="3" fontId="36" fillId="0" borderId="0">
      <alignment horizontal="left" vertical="center"/>
      <protection/>
    </xf>
    <xf numFmtId="0" fontId="34" fillId="0" borderId="0">
      <alignment horizontal="left" vertical="center"/>
      <protection/>
    </xf>
    <xf numFmtId="0" fontId="42" fillId="0" borderId="0">
      <alignment horizontal="right"/>
      <protection/>
    </xf>
    <xf numFmtId="49" fontId="42" fillId="0" borderId="0">
      <alignment horizontal="center"/>
      <protection/>
    </xf>
    <xf numFmtId="0" fontId="37" fillId="0" borderId="0">
      <alignment horizontal="right"/>
      <protection/>
    </xf>
    <xf numFmtId="0" fontId="42" fillId="0" borderId="0">
      <alignment horizontal="left"/>
      <protection/>
    </xf>
    <xf numFmtId="49" fontId="36" fillId="0" borderId="0">
      <alignment horizontal="left" vertical="center"/>
      <protection/>
    </xf>
    <xf numFmtId="49" fontId="37" fillId="0" borderId="3">
      <alignment horizontal="left" vertical="center"/>
      <protection/>
    </xf>
    <xf numFmtId="49" fontId="34" fillId="0" borderId="3" applyFill="0">
      <alignment horizontal="left" vertical="center"/>
      <protection/>
    </xf>
    <xf numFmtId="49" fontId="37" fillId="0" borderId="3">
      <alignment horizontal="left"/>
      <protection/>
    </xf>
    <xf numFmtId="171" fontId="36" fillId="0" borderId="0" applyNumberFormat="0">
      <alignment horizontal="right"/>
      <protection/>
    </xf>
    <xf numFmtId="0" fontId="39" fillId="34" borderId="0">
      <alignment horizontal="centerContinuous" vertical="center" wrapText="1"/>
      <protection/>
    </xf>
    <xf numFmtId="0" fontId="39" fillId="0" borderId="10">
      <alignment horizontal="left" vertical="center"/>
      <protection/>
    </xf>
    <xf numFmtId="0" fontId="43" fillId="0" borderId="0">
      <alignment horizontal="left" vertical="top"/>
      <protection/>
    </xf>
    <xf numFmtId="0" fontId="101" fillId="0" borderId="0" applyNumberFormat="0" applyFill="0" applyBorder="0" applyAlignment="0" applyProtection="0"/>
    <xf numFmtId="0" fontId="41" fillId="0" borderId="0">
      <alignment horizontal="left"/>
      <protection/>
    </xf>
    <xf numFmtId="0" fontId="35" fillId="0" borderId="0">
      <alignment horizontal="left"/>
      <protection/>
    </xf>
    <xf numFmtId="0" fontId="38" fillId="0" borderId="0">
      <alignment horizontal="left"/>
      <protection/>
    </xf>
    <xf numFmtId="0" fontId="43" fillId="0" borderId="0">
      <alignment horizontal="left" vertical="top"/>
      <protection/>
    </xf>
    <xf numFmtId="0" fontId="35" fillId="0" borderId="0">
      <alignment horizontal="left"/>
      <protection/>
    </xf>
    <xf numFmtId="0" fontId="38" fillId="0" borderId="0">
      <alignment horizontal="left"/>
      <protection/>
    </xf>
    <xf numFmtId="0" fontId="0" fillId="0" borderId="11" applyNumberFormat="0" applyFont="0" applyFill="0" applyAlignment="0" applyProtection="0"/>
    <xf numFmtId="0" fontId="102" fillId="0" borderId="0" applyNumberFormat="0" applyFill="0" applyBorder="0" applyAlignment="0" applyProtection="0"/>
    <xf numFmtId="49" fontId="36" fillId="0" borderId="3">
      <alignment horizontal="left"/>
      <protection/>
    </xf>
    <xf numFmtId="0" fontId="39" fillId="0" borderId="5">
      <alignment horizontal="left"/>
      <protection/>
    </xf>
    <xf numFmtId="0" fontId="41" fillId="0" borderId="0">
      <alignment horizontal="left" vertical="center"/>
      <protection/>
    </xf>
    <xf numFmtId="49" fontId="42" fillId="0" borderId="3">
      <alignment horizontal="left"/>
      <protection/>
    </xf>
  </cellStyleXfs>
  <cellXfs count="1043">
    <xf numFmtId="0" fontId="0" fillId="0" borderId="0" xfId="0" applyAlignment="1">
      <alignment/>
    </xf>
    <xf numFmtId="0" fontId="0" fillId="0" borderId="0" xfId="0" applyFill="1" applyBorder="1" applyAlignment="1">
      <alignment/>
    </xf>
    <xf numFmtId="0" fontId="2" fillId="0" borderId="0" xfId="0" applyFont="1" applyFill="1" applyBorder="1" applyAlignment="1">
      <alignment/>
    </xf>
    <xf numFmtId="4" fontId="2" fillId="0" borderId="12" xfId="0" applyNumberFormat="1" applyFont="1" applyFill="1" applyBorder="1" applyAlignment="1">
      <alignment horizontal="center" vertical="center"/>
    </xf>
    <xf numFmtId="0" fontId="0" fillId="0" borderId="0" xfId="0" applyFill="1" applyAlignment="1">
      <alignment/>
    </xf>
    <xf numFmtId="4" fontId="0" fillId="0" borderId="13" xfId="0" applyNumberForma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2" xfId="0" applyNumberFormat="1" applyFill="1" applyBorder="1" applyAlignment="1">
      <alignment horizontal="center" vertical="center"/>
    </xf>
    <xf numFmtId="4" fontId="0" fillId="0" borderId="12" xfId="0" applyNumberFormat="1" applyFill="1" applyBorder="1" applyAlignment="1">
      <alignment horizontal="center" vertical="center" wrapText="1"/>
    </xf>
    <xf numFmtId="4" fontId="0" fillId="0" borderId="14" xfId="0" applyNumberFormat="1" applyFill="1" applyBorder="1" applyAlignment="1">
      <alignment horizontal="center" vertical="center"/>
    </xf>
    <xf numFmtId="4" fontId="4" fillId="35" borderId="12" xfId="0" applyNumberFormat="1" applyFont="1" applyFill="1" applyBorder="1" applyAlignment="1">
      <alignment horizontal="center" vertical="center" wrapText="1"/>
    </xf>
    <xf numFmtId="0" fontId="4" fillId="35" borderId="12" xfId="0" applyFont="1" applyFill="1" applyBorder="1" applyAlignment="1">
      <alignment horizontal="center" vertical="center" wrapText="1"/>
    </xf>
    <xf numFmtId="2" fontId="4" fillId="35" borderId="12" xfId="0" applyNumberFormat="1"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6" fillId="0" borderId="0" xfId="0" applyFont="1" applyFill="1" applyAlignment="1">
      <alignment/>
    </xf>
    <xf numFmtId="0" fontId="7" fillId="0" borderId="0" xfId="0" applyFont="1" applyAlignment="1">
      <alignment/>
    </xf>
    <xf numFmtId="4" fontId="2" fillId="0" borderId="15"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0" fontId="0" fillId="0" borderId="0" xfId="0" applyFill="1" applyBorder="1" applyAlignment="1">
      <alignment horizontal="left"/>
    </xf>
    <xf numFmtId="2" fontId="0" fillId="35" borderId="12" xfId="0" applyNumberFormat="1" applyFill="1" applyBorder="1" applyAlignment="1">
      <alignment horizontal="center" vertical="center" wrapText="1"/>
    </xf>
    <xf numFmtId="0" fontId="2" fillId="0" borderId="0" xfId="0" applyFont="1" applyAlignment="1">
      <alignment/>
    </xf>
    <xf numFmtId="4" fontId="2" fillId="0" borderId="12" xfId="0" applyNumberFormat="1" applyFont="1" applyBorder="1" applyAlignment="1">
      <alignment horizontal="center" vertical="top"/>
    </xf>
    <xf numFmtId="4" fontId="0" fillId="35" borderId="12" xfId="0" applyNumberFormat="1" applyFont="1" applyFill="1" applyBorder="1" applyAlignment="1">
      <alignment horizontal="center" vertical="top"/>
    </xf>
    <xf numFmtId="4" fontId="0" fillId="0" borderId="12" xfId="0" applyNumberFormat="1" applyBorder="1" applyAlignment="1">
      <alignment horizontal="center" vertical="top"/>
    </xf>
    <xf numFmtId="4" fontId="0" fillId="35" borderId="12" xfId="0" applyNumberFormat="1" applyFill="1" applyBorder="1" applyAlignment="1">
      <alignment horizontal="center" vertical="top"/>
    </xf>
    <xf numFmtId="0" fontId="14" fillId="0" borderId="0" xfId="0" applyFont="1" applyAlignment="1">
      <alignment/>
    </xf>
    <xf numFmtId="0" fontId="1" fillId="0" borderId="0" xfId="0" applyFont="1" applyFill="1" applyAlignment="1">
      <alignment horizontal="center" vertical="center"/>
    </xf>
    <xf numFmtId="0" fontId="0" fillId="0" borderId="0" xfId="0" applyFont="1" applyAlignment="1">
      <alignment/>
    </xf>
    <xf numFmtId="4"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0" fillId="0" borderId="0" xfId="0" applyBorder="1" applyAlignment="1">
      <alignment/>
    </xf>
    <xf numFmtId="4" fontId="2" fillId="0" borderId="12" xfId="0" applyNumberFormat="1" applyFont="1" applyFill="1" applyBorder="1" applyAlignment="1">
      <alignment horizontal="center" vertical="center"/>
    </xf>
    <xf numFmtId="4" fontId="1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 fontId="4" fillId="35" borderId="13" xfId="0" applyNumberFormat="1" applyFont="1" applyFill="1" applyBorder="1" applyAlignment="1">
      <alignment horizontal="center" vertical="center" wrapText="1"/>
    </xf>
    <xf numFmtId="0" fontId="4" fillId="35" borderId="13" xfId="0" applyFont="1" applyFill="1" applyBorder="1" applyAlignment="1">
      <alignment horizontal="center" vertical="center" wrapText="1"/>
    </xf>
    <xf numFmtId="0" fontId="0" fillId="0" borderId="0" xfId="0" applyFill="1" applyAlignment="1">
      <alignment horizontal="center" vertical="center"/>
    </xf>
    <xf numFmtId="0" fontId="18" fillId="0" borderId="0" xfId="0" applyFont="1" applyFill="1" applyAlignment="1">
      <alignment/>
    </xf>
    <xf numFmtId="0" fontId="2" fillId="0" borderId="12" xfId="0" applyFont="1" applyFill="1" applyBorder="1" applyAlignment="1">
      <alignment horizontal="center" vertical="center"/>
    </xf>
    <xf numFmtId="0" fontId="0" fillId="0" borderId="12" xfId="0" applyFill="1" applyBorder="1" applyAlignment="1">
      <alignment horizontal="center" vertical="center" wrapText="1"/>
    </xf>
    <xf numFmtId="0" fontId="5" fillId="35" borderId="12" xfId="0" applyFont="1" applyFill="1" applyBorder="1" applyAlignment="1">
      <alignment horizontal="center" vertical="center"/>
    </xf>
    <xf numFmtId="0" fontId="5" fillId="35" borderId="12" xfId="0" applyFont="1" applyFill="1" applyBorder="1" applyAlignment="1">
      <alignment horizontal="center" vertical="center" wrapText="1"/>
    </xf>
    <xf numFmtId="0" fontId="5" fillId="35" borderId="15" xfId="0" applyFont="1" applyFill="1" applyBorder="1" applyAlignment="1">
      <alignment horizontal="center" vertical="center"/>
    </xf>
    <xf numFmtId="2" fontId="0" fillId="36" borderId="12" xfId="0" applyNumberFormat="1" applyFont="1" applyFill="1" applyBorder="1" applyAlignment="1">
      <alignment horizontal="center" vertical="center"/>
    </xf>
    <xf numFmtId="2" fontId="0" fillId="35" borderId="12"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wrapText="1"/>
    </xf>
    <xf numFmtId="2" fontId="2" fillId="0" borderId="12" xfId="0" applyNumberFormat="1" applyFont="1" applyFill="1" applyBorder="1" applyAlignment="1" applyProtection="1">
      <alignment horizontal="center" vertical="center" wrapText="1"/>
      <protection/>
    </xf>
    <xf numFmtId="2" fontId="0" fillId="36" borderId="12" xfId="0" applyNumberFormat="1" applyFont="1" applyFill="1" applyBorder="1" applyAlignment="1" applyProtection="1">
      <alignment horizontal="center" vertical="center"/>
      <protection/>
    </xf>
    <xf numFmtId="2" fontId="0" fillId="36" borderId="12" xfId="0" applyNumberFormat="1" applyFont="1" applyFill="1" applyBorder="1" applyAlignment="1">
      <alignment horizontal="center" vertical="center" wrapText="1"/>
    </xf>
    <xf numFmtId="2" fontId="0" fillId="35" borderId="12" xfId="0" applyNumberFormat="1" applyFont="1" applyFill="1" applyBorder="1" applyAlignment="1" applyProtection="1">
      <alignment horizontal="center" vertical="center"/>
      <protection/>
    </xf>
    <xf numFmtId="4" fontId="6" fillId="0" borderId="0" xfId="0" applyNumberFormat="1" applyFont="1" applyFill="1" applyBorder="1" applyAlignment="1">
      <alignment horizontal="left" vertical="center"/>
    </xf>
    <xf numFmtId="2" fontId="0" fillId="0" borderId="12" xfId="0" applyNumberFormat="1" applyFont="1" applyFill="1" applyBorder="1" applyAlignment="1">
      <alignment horizontal="center" vertical="center" wrapText="1"/>
    </xf>
    <xf numFmtId="0" fontId="0" fillId="37" borderId="17" xfId="0" applyFill="1" applyBorder="1" applyAlignment="1">
      <alignment/>
    </xf>
    <xf numFmtId="0" fontId="0" fillId="37" borderId="11"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49" fontId="6" fillId="0" borderId="0" xfId="0" applyNumberFormat="1" applyFont="1" applyFill="1" applyAlignment="1">
      <alignment/>
    </xf>
    <xf numFmtId="49" fontId="0" fillId="0" borderId="0" xfId="0" applyNumberFormat="1" applyFill="1" applyBorder="1" applyAlignment="1">
      <alignment/>
    </xf>
    <xf numFmtId="49" fontId="6" fillId="0" borderId="0" xfId="0" applyNumberFormat="1" applyFont="1" applyFill="1" applyBorder="1" applyAlignment="1">
      <alignment horizontal="left" vertical="center"/>
    </xf>
    <xf numFmtId="49" fontId="0" fillId="0" borderId="0" xfId="0" applyNumberFormat="1" applyFill="1" applyAlignment="1">
      <alignment/>
    </xf>
    <xf numFmtId="2" fontId="0" fillId="37" borderId="0" xfId="0" applyNumberFormat="1" applyFill="1" applyBorder="1" applyAlignment="1">
      <alignment horizontal="center" vertical="center" wrapText="1"/>
    </xf>
    <xf numFmtId="0" fontId="1" fillId="0" borderId="0" xfId="0" applyFont="1" applyFill="1" applyAlignment="1">
      <alignment horizontal="left" vertical="center"/>
    </xf>
    <xf numFmtId="0" fontId="0" fillId="37" borderId="0" xfId="0" applyFill="1" applyBorder="1" applyAlignment="1">
      <alignment/>
    </xf>
    <xf numFmtId="4" fontId="0" fillId="37" borderId="21" xfId="0" applyNumberFormat="1" applyFont="1" applyFill="1" applyBorder="1" applyAlignment="1">
      <alignment/>
    </xf>
    <xf numFmtId="0" fontId="0" fillId="37" borderId="19" xfId="0" applyFill="1" applyBorder="1" applyAlignment="1">
      <alignment wrapText="1"/>
    </xf>
    <xf numFmtId="4" fontId="0" fillId="37" borderId="0" xfId="0" applyNumberFormat="1" applyFill="1" applyBorder="1" applyAlignment="1">
      <alignment/>
    </xf>
    <xf numFmtId="2" fontId="0" fillId="37" borderId="12" xfId="0" applyNumberFormat="1" applyFont="1" applyFill="1" applyBorder="1" applyAlignment="1">
      <alignment horizontal="center" vertical="center" wrapText="1"/>
    </xf>
    <xf numFmtId="3" fontId="0" fillId="37" borderId="20" xfId="0" applyNumberFormat="1" applyFont="1" applyFill="1" applyBorder="1" applyAlignment="1">
      <alignment horizontal="center" vertical="center" wrapText="1"/>
    </xf>
    <xf numFmtId="4" fontId="2" fillId="37" borderId="20" xfId="0" applyNumberFormat="1" applyFont="1" applyFill="1" applyBorder="1" applyAlignment="1">
      <alignment horizontal="center" vertical="center"/>
    </xf>
    <xf numFmtId="4" fontId="2" fillId="37" borderId="20" xfId="0" applyNumberFormat="1" applyFont="1" applyFill="1" applyBorder="1" applyAlignment="1">
      <alignment horizontal="center" vertical="center" wrapText="1"/>
    </xf>
    <xf numFmtId="4" fontId="0" fillId="37" borderId="20" xfId="0" applyNumberFormat="1" applyFill="1" applyBorder="1" applyAlignment="1">
      <alignment horizontal="center" vertical="center" wrapText="1"/>
    </xf>
    <xf numFmtId="2" fontId="4" fillId="37" borderId="20" xfId="0" applyNumberFormat="1" applyFont="1" applyFill="1" applyBorder="1" applyAlignment="1">
      <alignment horizontal="center" vertical="center" wrapText="1"/>
    </xf>
    <xf numFmtId="2" fontId="0" fillId="37" borderId="20" xfId="0" applyNumberFormat="1" applyFont="1" applyFill="1" applyBorder="1" applyAlignment="1">
      <alignment horizontal="center" vertical="center" wrapText="1"/>
    </xf>
    <xf numFmtId="0" fontId="6" fillId="37" borderId="20" xfId="0" applyFont="1" applyFill="1" applyBorder="1" applyAlignment="1">
      <alignment/>
    </xf>
    <xf numFmtId="0" fontId="0" fillId="37" borderId="22" xfId="0" applyFill="1" applyBorder="1" applyAlignment="1">
      <alignment/>
    </xf>
    <xf numFmtId="0" fontId="1" fillId="37" borderId="19" xfId="0" applyFont="1" applyFill="1" applyBorder="1" applyAlignment="1">
      <alignment/>
    </xf>
    <xf numFmtId="0" fontId="1" fillId="37" borderId="0" xfId="0" applyFont="1" applyFill="1" applyBorder="1" applyAlignment="1">
      <alignment/>
    </xf>
    <xf numFmtId="0" fontId="0" fillId="37" borderId="23" xfId="0" applyFill="1" applyBorder="1" applyAlignment="1">
      <alignment/>
    </xf>
    <xf numFmtId="0" fontId="0" fillId="37" borderId="24" xfId="0" applyFill="1" applyBorder="1" applyAlignment="1">
      <alignment/>
    </xf>
    <xf numFmtId="0" fontId="4" fillId="37" borderId="19" xfId="0" applyFont="1" applyFill="1" applyBorder="1" applyAlignment="1">
      <alignment/>
    </xf>
    <xf numFmtId="4" fontId="0" fillId="37" borderId="25" xfId="0" applyNumberFormat="1" applyFill="1" applyBorder="1" applyAlignment="1">
      <alignment/>
    </xf>
    <xf numFmtId="2" fontId="0" fillId="37" borderId="12" xfId="0" applyNumberFormat="1" applyFill="1" applyBorder="1" applyAlignment="1">
      <alignment horizontal="center" vertical="center" wrapText="1"/>
    </xf>
    <xf numFmtId="0" fontId="0" fillId="37" borderId="18" xfId="0" applyFill="1" applyBorder="1" applyAlignment="1">
      <alignment horizontal="center" vertical="center"/>
    </xf>
    <xf numFmtId="0" fontId="0" fillId="37" borderId="20" xfId="0" applyFill="1" applyBorder="1" applyAlignment="1">
      <alignment horizontal="center" vertical="center"/>
    </xf>
    <xf numFmtId="0" fontId="0" fillId="37" borderId="17" xfId="0" applyFill="1" applyBorder="1" applyAlignment="1">
      <alignment horizontal="center" vertical="center"/>
    </xf>
    <xf numFmtId="0" fontId="0" fillId="37" borderId="11" xfId="0" applyFill="1" applyBorder="1" applyAlignment="1">
      <alignment horizontal="center" vertical="center"/>
    </xf>
    <xf numFmtId="0" fontId="0" fillId="37" borderId="19" xfId="0" applyFill="1" applyBorder="1" applyAlignment="1">
      <alignment horizontal="center" vertical="center"/>
    </xf>
    <xf numFmtId="0" fontId="0" fillId="37" borderId="23" xfId="0" applyFill="1" applyBorder="1" applyAlignment="1">
      <alignment horizontal="center" vertical="center"/>
    </xf>
    <xf numFmtId="0" fontId="0" fillId="37" borderId="24" xfId="0" applyFill="1" applyBorder="1" applyAlignment="1">
      <alignment horizontal="center" vertical="center"/>
    </xf>
    <xf numFmtId="0" fontId="1" fillId="37" borderId="19" xfId="0" applyFont="1" applyFill="1" applyBorder="1" applyAlignment="1">
      <alignment horizontal="center" vertical="center"/>
    </xf>
    <xf numFmtId="0" fontId="0" fillId="37" borderId="0" xfId="0" applyFill="1" applyBorder="1" applyAlignment="1">
      <alignment horizontal="center" vertical="center"/>
    </xf>
    <xf numFmtId="4" fontId="1" fillId="37" borderId="0" xfId="0" applyNumberFormat="1" applyFont="1" applyFill="1" applyBorder="1" applyAlignment="1">
      <alignment horizontal="center" vertical="center"/>
    </xf>
    <xf numFmtId="49" fontId="1" fillId="37" borderId="0" xfId="0" applyNumberFormat="1" applyFont="1" applyFill="1" applyBorder="1" applyAlignment="1">
      <alignment horizontal="center" vertical="center"/>
    </xf>
    <xf numFmtId="0" fontId="1" fillId="37" borderId="20" xfId="0" applyFont="1" applyFill="1" applyBorder="1" applyAlignment="1">
      <alignment horizontal="center" vertical="center"/>
    </xf>
    <xf numFmtId="0" fontId="0" fillId="37" borderId="20" xfId="0" applyFont="1" applyFill="1" applyBorder="1" applyAlignment="1">
      <alignment/>
    </xf>
    <xf numFmtId="0" fontId="2" fillId="37" borderId="0" xfId="0" applyFont="1" applyFill="1" applyBorder="1" applyAlignment="1">
      <alignment/>
    </xf>
    <xf numFmtId="49" fontId="0" fillId="37" borderId="11" xfId="0" applyNumberFormat="1" applyFill="1" applyBorder="1" applyAlignment="1">
      <alignment/>
    </xf>
    <xf numFmtId="4" fontId="0" fillId="37" borderId="0" xfId="0" applyNumberFormat="1" applyFont="1" applyFill="1" applyBorder="1" applyAlignment="1">
      <alignment horizontal="right" vertical="center"/>
    </xf>
    <xf numFmtId="49" fontId="0" fillId="37" borderId="0" xfId="0" applyNumberFormat="1" applyFont="1" applyFill="1" applyBorder="1" applyAlignment="1">
      <alignment horizontal="left" vertical="center"/>
    </xf>
    <xf numFmtId="49" fontId="0" fillId="37" borderId="24" xfId="0" applyNumberFormat="1" applyFill="1" applyBorder="1" applyAlignment="1">
      <alignment/>
    </xf>
    <xf numFmtId="2" fontId="0" fillId="37" borderId="17" xfId="0" applyNumberFormat="1" applyFont="1" applyFill="1" applyBorder="1" applyAlignment="1">
      <alignment horizontal="center" vertical="center"/>
    </xf>
    <xf numFmtId="2" fontId="0" fillId="37" borderId="11" xfId="0" applyNumberFormat="1" applyFont="1" applyFill="1" applyBorder="1" applyAlignment="1">
      <alignment horizontal="center" vertical="center"/>
    </xf>
    <xf numFmtId="2" fontId="0" fillId="37" borderId="18" xfId="0" applyNumberFormat="1" applyFont="1" applyFill="1" applyBorder="1" applyAlignment="1">
      <alignment horizontal="center" vertical="center"/>
    </xf>
    <xf numFmtId="2" fontId="0" fillId="37" borderId="19" xfId="0" applyNumberFormat="1" applyFont="1" applyFill="1" applyBorder="1" applyAlignment="1">
      <alignment horizontal="center" vertical="center"/>
    </xf>
    <xf numFmtId="2" fontId="0" fillId="37" borderId="0" xfId="0" applyNumberFormat="1" applyFont="1" applyFill="1" applyAlignment="1">
      <alignment horizontal="center" vertical="center"/>
    </xf>
    <xf numFmtId="2" fontId="19" fillId="37" borderId="0" xfId="0" applyNumberFormat="1" applyFont="1" applyFill="1" applyAlignment="1">
      <alignment horizontal="center" vertical="center"/>
    </xf>
    <xf numFmtId="2" fontId="0" fillId="37" borderId="20" xfId="0" applyNumberFormat="1" applyFont="1" applyFill="1" applyBorder="1" applyAlignment="1">
      <alignment horizontal="center" vertical="center"/>
    </xf>
    <xf numFmtId="2" fontId="0" fillId="37" borderId="22" xfId="0" applyNumberFormat="1" applyFont="1" applyFill="1" applyBorder="1" applyAlignment="1">
      <alignment horizontal="center" vertical="center"/>
    </xf>
    <xf numFmtId="2" fontId="0" fillId="37" borderId="23" xfId="0" applyNumberFormat="1" applyFont="1" applyFill="1" applyBorder="1" applyAlignment="1">
      <alignment horizontal="center" vertical="center"/>
    </xf>
    <xf numFmtId="0" fontId="4" fillId="37" borderId="20" xfId="0" applyFont="1" applyFill="1" applyBorder="1" applyAlignment="1">
      <alignment/>
    </xf>
    <xf numFmtId="0" fontId="1" fillId="37" borderId="20" xfId="0" applyFont="1" applyFill="1" applyBorder="1" applyAlignment="1">
      <alignment/>
    </xf>
    <xf numFmtId="2" fontId="5" fillId="35" borderId="12" xfId="0" applyNumberFormat="1" applyFont="1" applyFill="1" applyBorder="1" applyAlignment="1">
      <alignment horizontal="center" vertical="center"/>
    </xf>
    <xf numFmtId="4" fontId="0" fillId="37" borderId="16" xfId="0" applyNumberFormat="1" applyFont="1" applyFill="1" applyBorder="1" applyAlignment="1">
      <alignment horizontal="center" vertical="top"/>
    </xf>
    <xf numFmtId="4" fontId="0" fillId="37" borderId="12" xfId="0" applyNumberFormat="1" applyFont="1" applyFill="1" applyBorder="1" applyAlignment="1">
      <alignment horizontal="center" vertical="top"/>
    </xf>
    <xf numFmtId="4" fontId="0" fillId="37" borderId="12" xfId="0" applyNumberFormat="1" applyFill="1" applyBorder="1" applyAlignment="1">
      <alignment horizontal="center" vertical="top"/>
    </xf>
    <xf numFmtId="2" fontId="0" fillId="37" borderId="0" xfId="0" applyNumberFormat="1" applyFill="1" applyBorder="1" applyAlignment="1" applyProtection="1">
      <alignment horizontal="center" vertical="center"/>
      <protection/>
    </xf>
    <xf numFmtId="2" fontId="0" fillId="37" borderId="0" xfId="0" applyNumberFormat="1" applyFont="1" applyFill="1" applyBorder="1" applyAlignment="1">
      <alignment horizontal="center" vertical="center"/>
    </xf>
    <xf numFmtId="2" fontId="0" fillId="37" borderId="0" xfId="0" applyNumberFormat="1" applyFont="1" applyFill="1" applyBorder="1" applyAlignment="1" applyProtection="1">
      <alignment horizontal="center" vertical="center"/>
      <protection/>
    </xf>
    <xf numFmtId="4" fontId="5" fillId="35" borderId="0" xfId="0" applyNumberFormat="1" applyFont="1" applyFill="1" applyBorder="1" applyAlignment="1">
      <alignment vertical="center"/>
    </xf>
    <xf numFmtId="4" fontId="0" fillId="37" borderId="0" xfId="0" applyNumberFormat="1" applyFill="1" applyBorder="1" applyAlignment="1">
      <alignment horizontal="left" vertical="center" wrapText="1"/>
    </xf>
    <xf numFmtId="4" fontId="0" fillId="37" borderId="0" xfId="0" applyNumberFormat="1" applyFill="1" applyBorder="1" applyAlignment="1">
      <alignment horizontal="left" vertical="center"/>
    </xf>
    <xf numFmtId="4" fontId="0" fillId="0" borderId="14" xfId="0" applyNumberFormat="1" applyFill="1" applyBorder="1" applyAlignment="1">
      <alignment horizontal="center" vertical="center" wrapText="1"/>
    </xf>
    <xf numFmtId="4" fontId="0" fillId="0" borderId="12" xfId="0" applyNumberFormat="1" applyBorder="1" applyAlignment="1">
      <alignment horizontal="center" vertical="center"/>
    </xf>
    <xf numFmtId="4" fontId="2" fillId="0" borderId="26" xfId="0" applyNumberFormat="1" applyFont="1" applyFill="1" applyBorder="1" applyAlignment="1">
      <alignment horizontal="center" vertical="center"/>
    </xf>
    <xf numFmtId="4" fontId="2" fillId="0" borderId="26"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0" fillId="37" borderId="0" xfId="0" applyFill="1" applyBorder="1" applyAlignment="1">
      <alignment horizontal="left" vertical="center"/>
    </xf>
    <xf numFmtId="0" fontId="0" fillId="0" borderId="0" xfId="0" applyFont="1" applyAlignment="1">
      <alignment vertical="center"/>
    </xf>
    <xf numFmtId="0" fontId="18" fillId="0" borderId="0" xfId="0" applyFont="1" applyAlignment="1">
      <alignment/>
    </xf>
    <xf numFmtId="4" fontId="0" fillId="38" borderId="12" xfId="0" applyNumberFormat="1" applyFill="1" applyBorder="1" applyAlignment="1">
      <alignment horizontal="center" vertical="center"/>
    </xf>
    <xf numFmtId="4" fontId="0" fillId="38" borderId="12" xfId="0" applyNumberFormat="1" applyFill="1" applyBorder="1" applyAlignment="1">
      <alignment horizontal="center" vertical="center" wrapText="1"/>
    </xf>
    <xf numFmtId="0" fontId="0" fillId="37" borderId="0" xfId="0" applyFill="1" applyBorder="1" applyAlignment="1">
      <alignment wrapText="1"/>
    </xf>
    <xf numFmtId="3" fontId="0" fillId="0" borderId="12" xfId="0" applyNumberFormat="1" applyFill="1" applyBorder="1" applyAlignment="1">
      <alignment horizontal="center" vertical="center" wrapText="1"/>
    </xf>
    <xf numFmtId="3" fontId="0" fillId="37" borderId="12" xfId="0" applyNumberFormat="1" applyFill="1" applyBorder="1" applyAlignment="1">
      <alignment horizontal="center" vertical="center" wrapText="1"/>
    </xf>
    <xf numFmtId="2" fontId="4" fillId="35" borderId="13" xfId="0" applyNumberFormat="1" applyFont="1" applyFill="1" applyBorder="1" applyAlignment="1">
      <alignment horizontal="center" vertical="center" wrapText="1"/>
    </xf>
    <xf numFmtId="4" fontId="0" fillId="38" borderId="12" xfId="0" applyNumberFormat="1" applyFont="1" applyFill="1" applyBorder="1" applyAlignment="1">
      <alignment horizontal="center" vertical="center" wrapText="1"/>
    </xf>
    <xf numFmtId="0" fontId="6" fillId="37" borderId="0" xfId="0" applyFont="1" applyFill="1" applyBorder="1" applyAlignment="1">
      <alignment/>
    </xf>
    <xf numFmtId="4" fontId="2" fillId="38" borderId="12" xfId="0" applyNumberFormat="1" applyFont="1" applyFill="1" applyBorder="1" applyAlignment="1">
      <alignment horizontal="center" vertical="center"/>
    </xf>
    <xf numFmtId="167" fontId="0" fillId="36" borderId="12" xfId="0" applyNumberFormat="1" applyFont="1" applyFill="1" applyBorder="1" applyAlignment="1">
      <alignment horizontal="center" vertical="center"/>
    </xf>
    <xf numFmtId="167" fontId="0" fillId="0" borderId="12" xfId="0" applyNumberFormat="1" applyFont="1" applyFill="1" applyBorder="1" applyAlignment="1">
      <alignment horizontal="center" vertical="center" wrapText="1"/>
    </xf>
    <xf numFmtId="2" fontId="0" fillId="37" borderId="0" xfId="0" applyNumberFormat="1" applyFont="1" applyFill="1" applyBorder="1" applyAlignment="1">
      <alignment horizontal="center" vertical="center" wrapText="1"/>
    </xf>
    <xf numFmtId="167" fontId="0" fillId="37" borderId="0" xfId="0" applyNumberFormat="1" applyFont="1" applyFill="1" applyBorder="1" applyAlignment="1">
      <alignment horizontal="center" vertical="center" wrapText="1"/>
    </xf>
    <xf numFmtId="0" fontId="5" fillId="35" borderId="0" xfId="0" applyFont="1" applyFill="1" applyBorder="1" applyAlignment="1">
      <alignment horizontal="center" vertical="center" wrapText="1"/>
    </xf>
    <xf numFmtId="0" fontId="0" fillId="37" borderId="0" xfId="0" applyFont="1" applyFill="1" applyAlignment="1">
      <alignment horizontal="left" vertical="center"/>
    </xf>
    <xf numFmtId="2" fontId="0" fillId="0" borderId="0" xfId="0" applyNumberFormat="1" applyFill="1" applyAlignment="1">
      <alignment/>
    </xf>
    <xf numFmtId="2" fontId="0" fillId="0" borderId="0" xfId="0" applyNumberFormat="1" applyFill="1" applyBorder="1" applyAlignment="1">
      <alignment horizontal="left"/>
    </xf>
    <xf numFmtId="2" fontId="0" fillId="37" borderId="11" xfId="0" applyNumberFormat="1" applyFill="1" applyBorder="1" applyAlignment="1">
      <alignment/>
    </xf>
    <xf numFmtId="2" fontId="0" fillId="37" borderId="21" xfId="0" applyNumberFormat="1" applyFont="1" applyFill="1" applyBorder="1" applyAlignment="1">
      <alignment/>
    </xf>
    <xf numFmtId="2" fontId="0" fillId="37" borderId="21" xfId="0" applyNumberFormat="1" applyFont="1" applyFill="1" applyBorder="1" applyAlignment="1">
      <alignment wrapText="1"/>
    </xf>
    <xf numFmtId="2" fontId="0" fillId="37" borderId="25" xfId="0" applyNumberFormat="1" applyFill="1" applyBorder="1" applyAlignment="1">
      <alignment/>
    </xf>
    <xf numFmtId="2" fontId="5" fillId="35" borderId="0" xfId="0" applyNumberFormat="1" applyFont="1" applyFill="1" applyBorder="1" applyAlignment="1">
      <alignment horizontal="center" vertical="center"/>
    </xf>
    <xf numFmtId="2" fontId="1" fillId="37" borderId="0" xfId="0" applyNumberFormat="1" applyFont="1" applyFill="1" applyBorder="1" applyAlignment="1">
      <alignment/>
    </xf>
    <xf numFmtId="2" fontId="0" fillId="37" borderId="24" xfId="0" applyNumberFormat="1" applyFill="1" applyBorder="1" applyAlignment="1">
      <alignment/>
    </xf>
    <xf numFmtId="2" fontId="0" fillId="37" borderId="0" xfId="0" applyNumberFormat="1" applyFill="1" applyBorder="1" applyAlignment="1">
      <alignment horizontal="center" vertical="center"/>
    </xf>
    <xf numFmtId="2" fontId="0" fillId="37" borderId="24" xfId="0" applyNumberFormat="1" applyFill="1" applyBorder="1" applyAlignment="1">
      <alignment horizontal="center" vertical="center"/>
    </xf>
    <xf numFmtId="2" fontId="3" fillId="0" borderId="0" xfId="0" applyNumberFormat="1" applyFont="1" applyFill="1" applyBorder="1" applyAlignment="1">
      <alignment/>
    </xf>
    <xf numFmtId="2" fontId="0" fillId="39" borderId="12" xfId="0" applyNumberFormat="1" applyFill="1" applyBorder="1" applyAlignment="1">
      <alignment/>
    </xf>
    <xf numFmtId="2" fontId="0" fillId="40" borderId="12" xfId="0" applyNumberFormat="1" applyFill="1" applyBorder="1" applyAlignment="1">
      <alignment/>
    </xf>
    <xf numFmtId="2" fontId="0" fillId="41" borderId="12" xfId="0" applyNumberFormat="1" applyFill="1" applyBorder="1" applyAlignment="1">
      <alignment/>
    </xf>
    <xf numFmtId="2" fontId="3" fillId="38" borderId="12" xfId="0" applyNumberFormat="1" applyFont="1" applyFill="1" applyBorder="1" applyAlignment="1">
      <alignment/>
    </xf>
    <xf numFmtId="2" fontId="2" fillId="0" borderId="12" xfId="0" applyNumberFormat="1" applyFont="1" applyFill="1" applyBorder="1" applyAlignment="1">
      <alignment horizontal="center" vertical="center"/>
    </xf>
    <xf numFmtId="2" fontId="0" fillId="0" borderId="13" xfId="0" applyNumberForma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2" fontId="0" fillId="0" borderId="0" xfId="0" applyNumberFormat="1" applyFill="1" applyBorder="1" applyAlignment="1">
      <alignment/>
    </xf>
    <xf numFmtId="0" fontId="0" fillId="0" borderId="12" xfId="0" applyFont="1" applyFill="1" applyBorder="1" applyAlignment="1">
      <alignment horizontal="center" vertical="center" wrapText="1"/>
    </xf>
    <xf numFmtId="2" fontId="0" fillId="0" borderId="12" xfId="0" applyNumberFormat="1" applyFont="1" applyFill="1" applyBorder="1" applyAlignment="1">
      <alignment horizontal="center" vertical="center"/>
    </xf>
    <xf numFmtId="0" fontId="0" fillId="37" borderId="19" xfId="0" applyFont="1" applyFill="1" applyBorder="1" applyAlignment="1">
      <alignment horizontal="center" vertical="center"/>
    </xf>
    <xf numFmtId="0" fontId="0" fillId="37" borderId="20" xfId="0" applyFont="1" applyFill="1" applyBorder="1" applyAlignment="1">
      <alignment horizontal="center" vertical="center"/>
    </xf>
    <xf numFmtId="0" fontId="0" fillId="0" borderId="0" xfId="0" applyFont="1" applyFill="1" applyAlignment="1">
      <alignment/>
    </xf>
    <xf numFmtId="4" fontId="0" fillId="37" borderId="25" xfId="0" applyNumberFormat="1" applyFill="1" applyBorder="1" applyAlignment="1">
      <alignment vertical="top"/>
    </xf>
    <xf numFmtId="4" fontId="2" fillId="37" borderId="0" xfId="0" applyNumberFormat="1" applyFont="1" applyFill="1" applyBorder="1" applyAlignment="1">
      <alignment horizontal="center" vertical="center"/>
    </xf>
    <xf numFmtId="4" fontId="0" fillId="37" borderId="0" xfId="0" applyNumberFormat="1" applyFont="1" applyFill="1" applyBorder="1" applyAlignment="1">
      <alignment vertical="top"/>
    </xf>
    <xf numFmtId="4" fontId="5" fillId="35" borderId="14" xfId="0" applyNumberFormat="1" applyFont="1" applyFill="1" applyBorder="1" applyAlignment="1">
      <alignment horizontal="center" vertical="center"/>
    </xf>
    <xf numFmtId="0" fontId="13" fillId="0" borderId="0" xfId="0" applyFont="1" applyFill="1" applyBorder="1" applyAlignment="1">
      <alignment/>
    </xf>
    <xf numFmtId="0" fontId="13" fillId="0" borderId="0" xfId="0" applyFont="1" applyFill="1" applyAlignment="1">
      <alignment/>
    </xf>
    <xf numFmtId="0" fontId="2" fillId="0" borderId="0" xfId="0" applyFont="1" applyFill="1" applyAlignment="1">
      <alignment/>
    </xf>
    <xf numFmtId="0" fontId="21" fillId="0" borderId="0" xfId="0" applyFont="1" applyFill="1" applyBorder="1" applyAlignment="1">
      <alignment/>
    </xf>
    <xf numFmtId="4" fontId="0" fillId="0" borderId="12" xfId="0" applyNumberFormat="1" applyBorder="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xf>
    <xf numFmtId="0" fontId="0" fillId="0" borderId="6" xfId="0" applyFill="1" applyBorder="1" applyAlignment="1">
      <alignment/>
    </xf>
    <xf numFmtId="0" fontId="5" fillId="35" borderId="0" xfId="0" applyFont="1" applyFill="1" applyBorder="1" applyAlignment="1">
      <alignment horizontal="center" vertical="center"/>
    </xf>
    <xf numFmtId="0" fontId="0" fillId="0" borderId="0" xfId="0" applyAlignment="1">
      <alignment horizontal="center"/>
    </xf>
    <xf numFmtId="2" fontId="0" fillId="0" borderId="12" xfId="0" applyNumberFormat="1" applyFill="1" applyBorder="1" applyAlignment="1">
      <alignment horizontal="center" vertical="center" wrapText="1"/>
    </xf>
    <xf numFmtId="0" fontId="0" fillId="37" borderId="22" xfId="0" applyFill="1" applyBorder="1" applyAlignment="1">
      <alignment horizontal="center"/>
    </xf>
    <xf numFmtId="165" fontId="0" fillId="37" borderId="12" xfId="0" applyNumberFormat="1" applyFill="1" applyBorder="1" applyAlignment="1">
      <alignment horizontal="center" vertical="center" wrapText="1"/>
    </xf>
    <xf numFmtId="4" fontId="2" fillId="38" borderId="27" xfId="0" applyNumberFormat="1" applyFont="1" applyFill="1" applyBorder="1" applyAlignment="1">
      <alignment horizontal="center" vertical="center"/>
    </xf>
    <xf numFmtId="2" fontId="0" fillId="37" borderId="0" xfId="0" applyNumberFormat="1" applyFill="1" applyBorder="1" applyAlignment="1">
      <alignment/>
    </xf>
    <xf numFmtId="4" fontId="0" fillId="37" borderId="12" xfId="0" applyNumberFormat="1" applyFill="1" applyBorder="1" applyAlignment="1">
      <alignment horizontal="center" vertical="center" wrapText="1"/>
    </xf>
    <xf numFmtId="0" fontId="1" fillId="37" borderId="23" xfId="0" applyFont="1" applyFill="1" applyBorder="1" applyAlignment="1">
      <alignment/>
    </xf>
    <xf numFmtId="0" fontId="1" fillId="37" borderId="24" xfId="0" applyFont="1" applyFill="1" applyBorder="1" applyAlignment="1">
      <alignment/>
    </xf>
    <xf numFmtId="2" fontId="1" fillId="37" borderId="24" xfId="0" applyNumberFormat="1" applyFont="1" applyFill="1" applyBorder="1" applyAlignment="1">
      <alignment/>
    </xf>
    <xf numFmtId="0" fontId="0" fillId="37" borderId="22" xfId="0" applyFont="1" applyFill="1" applyBorder="1" applyAlignment="1">
      <alignment/>
    </xf>
    <xf numFmtId="168" fontId="0" fillId="37" borderId="12" xfId="0" applyNumberFormat="1" applyFill="1" applyBorder="1" applyAlignment="1">
      <alignment horizontal="center" vertical="center" wrapText="1"/>
    </xf>
    <xf numFmtId="168" fontId="0" fillId="38" borderId="12" xfId="0" applyNumberFormat="1" applyFont="1" applyFill="1" applyBorder="1" applyAlignment="1">
      <alignment horizontal="center" vertical="center" wrapText="1"/>
    </xf>
    <xf numFmtId="0" fontId="6" fillId="37" borderId="24" xfId="0" applyFont="1" applyFill="1" applyBorder="1" applyAlignment="1">
      <alignment/>
    </xf>
    <xf numFmtId="0" fontId="18" fillId="0" borderId="0" xfId="0" applyFont="1" applyBorder="1" applyAlignment="1">
      <alignment horizontal="center" vertical="top" wrapText="1"/>
    </xf>
    <xf numFmtId="0" fontId="0" fillId="37" borderId="11" xfId="0" applyFill="1" applyBorder="1" applyAlignment="1">
      <alignment wrapText="1"/>
    </xf>
    <xf numFmtId="0" fontId="0" fillId="37" borderId="18" xfId="0" applyFill="1" applyBorder="1" applyAlignment="1">
      <alignment wrapText="1"/>
    </xf>
    <xf numFmtId="0" fontId="0" fillId="37" borderId="20" xfId="0" applyFill="1" applyBorder="1" applyAlignment="1">
      <alignment wrapText="1"/>
    </xf>
    <xf numFmtId="0" fontId="0" fillId="37" borderId="23" xfId="0" applyFill="1" applyBorder="1" applyAlignment="1">
      <alignment wrapText="1"/>
    </xf>
    <xf numFmtId="0" fontId="0" fillId="37" borderId="24" xfId="0" applyFill="1" applyBorder="1" applyAlignment="1">
      <alignment wrapText="1"/>
    </xf>
    <xf numFmtId="0" fontId="0" fillId="37" borderId="22" xfId="0" applyFill="1" applyBorder="1" applyAlignment="1">
      <alignment wrapText="1"/>
    </xf>
    <xf numFmtId="0" fontId="0" fillId="38" borderId="28" xfId="0" applyFill="1" applyBorder="1" applyAlignment="1">
      <alignment wrapText="1"/>
    </xf>
    <xf numFmtId="0" fontId="0" fillId="38" borderId="29" xfId="0" applyFill="1" applyBorder="1" applyAlignment="1">
      <alignment wrapText="1"/>
    </xf>
    <xf numFmtId="0" fontId="0" fillId="38" borderId="30" xfId="0" applyFill="1" applyBorder="1" applyAlignment="1">
      <alignment wrapText="1"/>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right"/>
    </xf>
    <xf numFmtId="0" fontId="1" fillId="40" borderId="12" xfId="0" applyFont="1" applyFill="1" applyBorder="1" applyAlignment="1">
      <alignment horizontal="left"/>
    </xf>
    <xf numFmtId="0" fontId="1" fillId="37" borderId="17" xfId="0" applyFont="1" applyFill="1" applyBorder="1" applyAlignment="1">
      <alignment/>
    </xf>
    <xf numFmtId="0" fontId="1" fillId="37" borderId="11" xfId="0" applyFont="1" applyFill="1" applyBorder="1" applyAlignment="1">
      <alignment/>
    </xf>
    <xf numFmtId="2" fontId="1" fillId="37" borderId="11" xfId="0" applyNumberFormat="1" applyFont="1" applyFill="1" applyBorder="1" applyAlignment="1">
      <alignment/>
    </xf>
    <xf numFmtId="0" fontId="6" fillId="37" borderId="11" xfId="0" applyFont="1" applyFill="1" applyBorder="1" applyAlignment="1">
      <alignment/>
    </xf>
    <xf numFmtId="0" fontId="0" fillId="37" borderId="18" xfId="0" applyFont="1" applyFill="1" applyBorder="1" applyAlignment="1">
      <alignment/>
    </xf>
    <xf numFmtId="0" fontId="0" fillId="37" borderId="31" xfId="0" applyFont="1" applyFill="1" applyBorder="1" applyAlignment="1">
      <alignment/>
    </xf>
    <xf numFmtId="2" fontId="0" fillId="38" borderId="12" xfId="0" applyNumberFormat="1" applyFill="1" applyBorder="1" applyAlignment="1">
      <alignment horizontal="center" vertical="center" wrapText="1"/>
    </xf>
    <xf numFmtId="168" fontId="0" fillId="38" borderId="12" xfId="0" applyNumberFormat="1" applyFill="1" applyBorder="1" applyAlignment="1">
      <alignment horizontal="center" vertical="center" wrapText="1"/>
    </xf>
    <xf numFmtId="2" fontId="2"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wrapText="1"/>
    </xf>
    <xf numFmtId="0" fontId="0" fillId="37" borderId="0" xfId="0" applyFill="1" applyAlignment="1">
      <alignment/>
    </xf>
    <xf numFmtId="0" fontId="0" fillId="37" borderId="32" xfId="0" applyFont="1" applyFill="1" applyBorder="1" applyAlignment="1">
      <alignment/>
    </xf>
    <xf numFmtId="0" fontId="2" fillId="37" borderId="11" xfId="0" applyNumberFormat="1" applyFont="1" applyFill="1" applyBorder="1" applyAlignment="1">
      <alignment horizontal="right" vertical="center"/>
    </xf>
    <xf numFmtId="0" fontId="0" fillId="37" borderId="11" xfId="0" applyFill="1" applyBorder="1" applyAlignment="1">
      <alignment/>
    </xf>
    <xf numFmtId="4" fontId="2" fillId="37" borderId="11" xfId="0" applyNumberFormat="1" applyFont="1" applyFill="1" applyBorder="1" applyAlignment="1">
      <alignment horizontal="center" vertical="center"/>
    </xf>
    <xf numFmtId="0" fontId="6" fillId="37" borderId="0" xfId="0" applyFont="1" applyFill="1" applyBorder="1" applyAlignment="1">
      <alignment vertical="top"/>
    </xf>
    <xf numFmtId="0" fontId="2" fillId="37" borderId="0" xfId="0" applyFont="1" applyFill="1" applyBorder="1" applyAlignment="1">
      <alignment wrapText="1"/>
    </xf>
    <xf numFmtId="0" fontId="4" fillId="37" borderId="0" xfId="0" applyFont="1" applyFill="1" applyBorder="1" applyAlignment="1">
      <alignment/>
    </xf>
    <xf numFmtId="0" fontId="1" fillId="37" borderId="0" xfId="0" applyFont="1" applyFill="1" applyBorder="1" applyAlignment="1">
      <alignment horizontal="right"/>
    </xf>
    <xf numFmtId="0" fontId="0" fillId="37" borderId="33" xfId="0" applyFill="1" applyBorder="1" applyAlignment="1">
      <alignment/>
    </xf>
    <xf numFmtId="0" fontId="0" fillId="37" borderId="33" xfId="0" applyFill="1" applyBorder="1" applyAlignment="1">
      <alignment horizontal="center"/>
    </xf>
    <xf numFmtId="0" fontId="18" fillId="37" borderId="17" xfId="0" applyFont="1" applyFill="1" applyBorder="1" applyAlignment="1">
      <alignment/>
    </xf>
    <xf numFmtId="0" fontId="25" fillId="37" borderId="19" xfId="0" applyFont="1" applyFill="1" applyBorder="1" applyAlignment="1">
      <alignment wrapText="1"/>
    </xf>
    <xf numFmtId="0" fontId="25" fillId="0" borderId="0" xfId="0" applyFont="1" applyBorder="1" applyAlignment="1">
      <alignment wrapText="1"/>
    </xf>
    <xf numFmtId="0" fontId="25" fillId="37" borderId="0" xfId="0" applyFont="1" applyFill="1" applyBorder="1" applyAlignment="1">
      <alignment wrapText="1"/>
    </xf>
    <xf numFmtId="0" fontId="0" fillId="37" borderId="34" xfId="0" applyFill="1" applyBorder="1" applyAlignment="1">
      <alignment/>
    </xf>
    <xf numFmtId="0" fontId="0" fillId="37" borderId="35" xfId="0" applyFill="1" applyBorder="1" applyAlignment="1">
      <alignment/>
    </xf>
    <xf numFmtId="0" fontId="0" fillId="37" borderId="36" xfId="0" applyFill="1" applyBorder="1" applyAlignment="1">
      <alignment/>
    </xf>
    <xf numFmtId="0" fontId="0" fillId="37" borderId="12" xfId="0" applyFill="1" applyBorder="1" applyAlignment="1">
      <alignment/>
    </xf>
    <xf numFmtId="2" fontId="0" fillId="37" borderId="12" xfId="0" applyNumberFormat="1" applyFill="1" applyBorder="1" applyAlignment="1">
      <alignment/>
    </xf>
    <xf numFmtId="0" fontId="5" fillId="35" borderId="20" xfId="0" applyFont="1" applyFill="1" applyBorder="1" applyAlignment="1">
      <alignment horizontal="center" vertical="center"/>
    </xf>
    <xf numFmtId="0" fontId="0" fillId="0" borderId="12" xfId="0" applyFill="1" applyBorder="1" applyAlignment="1">
      <alignment/>
    </xf>
    <xf numFmtId="0" fontId="2" fillId="0" borderId="12" xfId="0" applyFont="1" applyFill="1" applyBorder="1" applyAlignment="1">
      <alignment horizontal="center"/>
    </xf>
    <xf numFmtId="165" fontId="0" fillId="0" borderId="12" xfId="0" applyNumberFormat="1" applyFill="1" applyBorder="1" applyAlignment="1">
      <alignment horizontal="center" vertical="center" wrapText="1"/>
    </xf>
    <xf numFmtId="0" fontId="28" fillId="0" borderId="0" xfId="0" applyFont="1" applyAlignment="1">
      <alignment/>
    </xf>
    <xf numFmtId="4" fontId="2" fillId="0" borderId="0" xfId="0" applyNumberFormat="1" applyFont="1" applyFill="1" applyBorder="1" applyAlignment="1">
      <alignment horizontal="center" vertical="center" wrapText="1"/>
    </xf>
    <xf numFmtId="0" fontId="0" fillId="37" borderId="24" xfId="0" applyFont="1" applyFill="1" applyBorder="1" applyAlignment="1">
      <alignment/>
    </xf>
    <xf numFmtId="0" fontId="0" fillId="37" borderId="11" xfId="0" applyFont="1" applyFill="1" applyBorder="1" applyAlignment="1">
      <alignment/>
    </xf>
    <xf numFmtId="0" fontId="0" fillId="37" borderId="37" xfId="0" applyFont="1" applyFill="1" applyBorder="1" applyAlignment="1">
      <alignment/>
    </xf>
    <xf numFmtId="2" fontId="0" fillId="37" borderId="0" xfId="0" applyNumberFormat="1" applyFont="1" applyFill="1" applyBorder="1" applyAlignment="1">
      <alignment horizontal="center" vertical="center" wrapText="1"/>
    </xf>
    <xf numFmtId="165" fontId="0" fillId="38" borderId="12" xfId="0" applyNumberFormat="1" applyFill="1" applyBorder="1" applyAlignment="1">
      <alignment horizontal="center" vertical="center" wrapText="1"/>
    </xf>
    <xf numFmtId="0" fontId="6" fillId="37" borderId="24" xfId="0" applyFont="1" applyFill="1" applyBorder="1" applyAlignment="1">
      <alignment vertical="center" wrapText="1"/>
    </xf>
    <xf numFmtId="0" fontId="1" fillId="37" borderId="0" xfId="0" applyFont="1" applyFill="1" applyBorder="1" applyAlignment="1">
      <alignment vertical="center"/>
    </xf>
    <xf numFmtId="0" fontId="1" fillId="0" borderId="0" xfId="0" applyFont="1" applyAlignment="1">
      <alignment/>
    </xf>
    <xf numFmtId="0" fontId="1" fillId="37" borderId="0" xfId="0" applyFont="1" applyFill="1" applyBorder="1" applyAlignment="1">
      <alignment horizontal="left" vertical="center"/>
    </xf>
    <xf numFmtId="0" fontId="1" fillId="37" borderId="20" xfId="0" applyFont="1" applyFill="1" applyBorder="1" applyAlignment="1">
      <alignment horizontal="left" vertical="center"/>
    </xf>
    <xf numFmtId="0" fontId="30" fillId="0" borderId="0" xfId="0" applyFont="1" applyAlignment="1">
      <alignment/>
    </xf>
    <xf numFmtId="0" fontId="30" fillId="0" borderId="0" xfId="0" applyFont="1" applyAlignment="1">
      <alignment wrapText="1"/>
    </xf>
    <xf numFmtId="0" fontId="29" fillId="37" borderId="0" xfId="0" applyFont="1" applyFill="1" applyBorder="1" applyAlignment="1">
      <alignment/>
    </xf>
    <xf numFmtId="0" fontId="14" fillId="37" borderId="17" xfId="0" applyFont="1" applyFill="1" applyBorder="1" applyAlignment="1">
      <alignment/>
    </xf>
    <xf numFmtId="0" fontId="18" fillId="37" borderId="11" xfId="0" applyFont="1" applyFill="1" applyBorder="1" applyAlignment="1">
      <alignment/>
    </xf>
    <xf numFmtId="0" fontId="14" fillId="37" borderId="11" xfId="0" applyFont="1" applyFill="1" applyBorder="1" applyAlignment="1">
      <alignment/>
    </xf>
    <xf numFmtId="0" fontId="14" fillId="37" borderId="18" xfId="0" applyFont="1" applyFill="1" applyBorder="1" applyAlignment="1">
      <alignment/>
    </xf>
    <xf numFmtId="0" fontId="14" fillId="37" borderId="19" xfId="0" applyFont="1" applyFill="1" applyBorder="1" applyAlignment="1">
      <alignment/>
    </xf>
    <xf numFmtId="0" fontId="15" fillId="37" borderId="0" xfId="0" applyFont="1" applyFill="1" applyBorder="1" applyAlignment="1">
      <alignment vertical="center"/>
    </xf>
    <xf numFmtId="0" fontId="14" fillId="37" borderId="0" xfId="0" applyFont="1" applyFill="1" applyBorder="1" applyAlignment="1">
      <alignment/>
    </xf>
    <xf numFmtId="0" fontId="14" fillId="37" borderId="20" xfId="0" applyFont="1" applyFill="1" applyBorder="1" applyAlignment="1">
      <alignment/>
    </xf>
    <xf numFmtId="0" fontId="0" fillId="37" borderId="19" xfId="0" applyFont="1" applyFill="1" applyBorder="1" applyAlignment="1">
      <alignment vertical="center"/>
    </xf>
    <xf numFmtId="0" fontId="0" fillId="37" borderId="19" xfId="0" applyFont="1" applyFill="1" applyBorder="1" applyAlignment="1">
      <alignment/>
    </xf>
    <xf numFmtId="0" fontId="0" fillId="37" borderId="23" xfId="0" applyFont="1" applyFill="1" applyBorder="1" applyAlignment="1">
      <alignment/>
    </xf>
    <xf numFmtId="0" fontId="1" fillId="37" borderId="24" xfId="0" applyFont="1" applyFill="1" applyBorder="1" applyAlignment="1">
      <alignment horizontal="left" vertical="center"/>
    </xf>
    <xf numFmtId="0" fontId="1" fillId="37" borderId="22" xfId="0" applyFont="1" applyFill="1" applyBorder="1" applyAlignment="1">
      <alignment horizontal="left" vertical="center"/>
    </xf>
    <xf numFmtId="0" fontId="23" fillId="0" borderId="0" xfId="0" applyFont="1" applyFill="1" applyBorder="1" applyAlignment="1">
      <alignment/>
    </xf>
    <xf numFmtId="0" fontId="1" fillId="37" borderId="0" xfId="0" applyFont="1" applyFill="1" applyBorder="1" applyAlignment="1">
      <alignment horizontal="left" vertical="top" wrapText="1"/>
    </xf>
    <xf numFmtId="0" fontId="1" fillId="37" borderId="0" xfId="0" applyFont="1" applyFill="1" applyBorder="1" applyAlignment="1">
      <alignment wrapText="1"/>
    </xf>
    <xf numFmtId="0" fontId="0" fillId="37" borderId="0" xfId="0" applyFill="1" applyBorder="1" applyAlignment="1">
      <alignment/>
    </xf>
    <xf numFmtId="0" fontId="0" fillId="37" borderId="20" xfId="0" applyFill="1" applyBorder="1" applyAlignment="1">
      <alignment/>
    </xf>
    <xf numFmtId="0" fontId="14" fillId="37" borderId="0" xfId="0" applyFont="1" applyFill="1" applyBorder="1" applyAlignment="1">
      <alignment vertical="center"/>
    </xf>
    <xf numFmtId="0" fontId="14" fillId="37" borderId="20" xfId="0" applyFont="1" applyFill="1" applyBorder="1" applyAlignment="1">
      <alignment vertical="center"/>
    </xf>
    <xf numFmtId="0" fontId="0" fillId="37" borderId="6" xfId="0" applyFill="1" applyBorder="1" applyAlignment="1">
      <alignment/>
    </xf>
    <xf numFmtId="4" fontId="0" fillId="0" borderId="21" xfId="0" applyNumberFormat="1" applyFill="1" applyBorder="1" applyAlignment="1">
      <alignment horizontal="center" vertical="center" wrapText="1"/>
    </xf>
    <xf numFmtId="4" fontId="0" fillId="0" borderId="21" xfId="0" applyNumberFormat="1" applyFill="1" applyBorder="1" applyAlignment="1">
      <alignment horizontal="center" vertical="center"/>
    </xf>
    <xf numFmtId="4" fontId="0" fillId="0" borderId="16" xfId="0" applyNumberFormat="1" applyFill="1" applyBorder="1" applyAlignment="1">
      <alignment horizontal="center" vertical="center" wrapText="1"/>
    </xf>
    <xf numFmtId="4" fontId="2" fillId="0" borderId="13" xfId="0" applyNumberFormat="1" applyFont="1" applyFill="1" applyBorder="1" applyAlignment="1">
      <alignment horizontal="center" vertical="center"/>
    </xf>
    <xf numFmtId="4" fontId="0" fillId="0" borderId="26" xfId="0" applyNumberFormat="1" applyFill="1" applyBorder="1" applyAlignment="1">
      <alignment horizontal="center" vertical="center" wrapText="1"/>
    </xf>
    <xf numFmtId="4" fontId="0" fillId="0" borderId="26" xfId="0" applyNumberFormat="1" applyFill="1" applyBorder="1" applyAlignment="1">
      <alignment horizontal="center" vertical="center"/>
    </xf>
    <xf numFmtId="0" fontId="0" fillId="37" borderId="0" xfId="0" applyFill="1" applyAlignment="1">
      <alignment/>
    </xf>
    <xf numFmtId="4" fontId="0" fillId="37" borderId="26" xfId="0" applyNumberFormat="1" applyFill="1" applyBorder="1" applyAlignment="1">
      <alignment horizontal="center" vertical="center" wrapText="1"/>
    </xf>
    <xf numFmtId="0" fontId="0" fillId="0" borderId="0" xfId="0" applyAlignment="1">
      <alignment/>
    </xf>
    <xf numFmtId="0" fontId="2" fillId="0" borderId="0" xfId="0" applyFont="1" applyAlignment="1">
      <alignment/>
    </xf>
    <xf numFmtId="0" fontId="12" fillId="0" borderId="0" xfId="0" applyFont="1" applyFill="1" applyAlignment="1">
      <alignment/>
    </xf>
    <xf numFmtId="4" fontId="12" fillId="0" borderId="0" xfId="0" applyNumberFormat="1" applyFont="1" applyFill="1" applyAlignment="1">
      <alignment/>
    </xf>
    <xf numFmtId="165" fontId="12" fillId="0" borderId="0" xfId="0" applyNumberFormat="1" applyFont="1" applyFill="1" applyAlignment="1">
      <alignment/>
    </xf>
    <xf numFmtId="0" fontId="45" fillId="0" borderId="0" xfId="0" applyFont="1" applyFill="1" applyAlignment="1">
      <alignment/>
    </xf>
    <xf numFmtId="0" fontId="45" fillId="0" borderId="0" xfId="0" applyFont="1" applyFill="1" applyBorder="1" applyAlignment="1">
      <alignment/>
    </xf>
    <xf numFmtId="0" fontId="47" fillId="0" borderId="0" xfId="0" applyFont="1" applyFill="1" applyBorder="1" applyAlignment="1">
      <alignment/>
    </xf>
    <xf numFmtId="0" fontId="47" fillId="0" borderId="0" xfId="0" applyFont="1" applyFill="1" applyBorder="1" applyAlignment="1">
      <alignment vertical="top"/>
    </xf>
    <xf numFmtId="0" fontId="47" fillId="0" borderId="0" xfId="0" applyFont="1" applyFill="1" applyAlignment="1">
      <alignment vertical="top"/>
    </xf>
    <xf numFmtId="0" fontId="51" fillId="42" borderId="0" xfId="0" applyFont="1" applyFill="1" applyAlignment="1">
      <alignment horizontal="center"/>
    </xf>
    <xf numFmtId="0" fontId="53" fillId="43" borderId="0" xfId="0" applyFont="1" applyFill="1" applyBorder="1" applyAlignment="1">
      <alignment/>
    </xf>
    <xf numFmtId="0" fontId="51" fillId="0" borderId="0" xfId="0" applyFont="1" applyFill="1" applyBorder="1" applyAlignment="1">
      <alignment horizontal="center"/>
    </xf>
    <xf numFmtId="0" fontId="51" fillId="0" borderId="0" xfId="0" applyFont="1" applyFill="1" applyAlignment="1">
      <alignment horizontal="center"/>
    </xf>
    <xf numFmtId="0" fontId="12" fillId="0" borderId="0" xfId="0" applyFont="1" applyFill="1" applyBorder="1" applyAlignment="1">
      <alignment/>
    </xf>
    <xf numFmtId="0" fontId="12" fillId="42" borderId="0" xfId="0" applyFont="1" applyFill="1" applyAlignment="1">
      <alignment/>
    </xf>
    <xf numFmtId="0" fontId="54" fillId="44" borderId="38" xfId="0" applyFont="1" applyFill="1" applyBorder="1" applyAlignment="1">
      <alignment vertical="center"/>
    </xf>
    <xf numFmtId="0" fontId="54" fillId="0" borderId="38" xfId="0" applyFont="1" applyFill="1" applyBorder="1" applyAlignment="1">
      <alignment vertical="center"/>
    </xf>
    <xf numFmtId="0" fontId="56" fillId="0" borderId="0" xfId="0" applyFont="1" applyFill="1" applyAlignment="1">
      <alignment/>
    </xf>
    <xf numFmtId="0" fontId="52" fillId="0" borderId="0" xfId="0" applyFont="1" applyFill="1" applyAlignment="1">
      <alignment/>
    </xf>
    <xf numFmtId="0" fontId="57" fillId="0" borderId="14" xfId="0" applyFont="1" applyFill="1" applyBorder="1" applyAlignment="1">
      <alignment/>
    </xf>
    <xf numFmtId="0" fontId="52" fillId="0" borderId="14" xfId="0" applyFont="1" applyFill="1" applyBorder="1" applyAlignment="1">
      <alignment/>
    </xf>
    <xf numFmtId="4" fontId="52" fillId="38" borderId="14" xfId="0" applyNumberFormat="1" applyFont="1" applyFill="1" applyBorder="1" applyAlignment="1">
      <alignment/>
    </xf>
    <xf numFmtId="0" fontId="52" fillId="0" borderId="0" xfId="0" applyFont="1" applyFill="1" applyBorder="1" applyAlignment="1">
      <alignment/>
    </xf>
    <xf numFmtId="0" fontId="57" fillId="0" borderId="12" xfId="0" applyFont="1" applyFill="1" applyBorder="1" applyAlignment="1">
      <alignment/>
    </xf>
    <xf numFmtId="0" fontId="52" fillId="0" borderId="12" xfId="0" applyFont="1" applyFill="1" applyBorder="1" applyAlignment="1">
      <alignment/>
    </xf>
    <xf numFmtId="4" fontId="52" fillId="38" borderId="12" xfId="0" applyNumberFormat="1" applyFont="1" applyFill="1" applyBorder="1" applyAlignment="1">
      <alignment/>
    </xf>
    <xf numFmtId="0" fontId="57" fillId="0" borderId="39" xfId="0" applyFont="1" applyFill="1" applyBorder="1" applyAlignment="1">
      <alignment/>
    </xf>
    <xf numFmtId="0" fontId="52" fillId="0" borderId="39" xfId="0" applyFont="1" applyFill="1" applyBorder="1" applyAlignment="1">
      <alignment/>
    </xf>
    <xf numFmtId="4" fontId="52" fillId="38" borderId="39" xfId="0" applyNumberFormat="1" applyFont="1" applyFill="1" applyBorder="1" applyAlignment="1">
      <alignment/>
    </xf>
    <xf numFmtId="0" fontId="52" fillId="39" borderId="0" xfId="0" applyFont="1" applyFill="1" applyBorder="1" applyAlignment="1">
      <alignment/>
    </xf>
    <xf numFmtId="4" fontId="52" fillId="39" borderId="0" xfId="0" applyNumberFormat="1" applyFont="1" applyFill="1" applyBorder="1" applyAlignment="1">
      <alignment/>
    </xf>
    <xf numFmtId="0" fontId="57" fillId="45" borderId="0" xfId="0" applyFont="1" applyFill="1" applyBorder="1" applyAlignment="1">
      <alignment/>
    </xf>
    <xf numFmtId="167" fontId="52" fillId="45" borderId="0" xfId="0" applyNumberFormat="1" applyFont="1" applyFill="1" applyBorder="1" applyAlignment="1">
      <alignment/>
    </xf>
    <xf numFmtId="0" fontId="52" fillId="45" borderId="0" xfId="0" applyFont="1" applyFill="1" applyBorder="1" applyAlignment="1">
      <alignment/>
    </xf>
    <xf numFmtId="4" fontId="52" fillId="38" borderId="0" xfId="0" applyNumberFormat="1" applyFont="1" applyFill="1" applyBorder="1" applyAlignment="1">
      <alignment/>
    </xf>
    <xf numFmtId="0" fontId="12" fillId="37" borderId="0" xfId="0" applyFont="1" applyFill="1" applyAlignment="1">
      <alignment/>
    </xf>
    <xf numFmtId="0" fontId="45" fillId="0" borderId="0" xfId="0" applyFont="1" applyFill="1" applyAlignment="1" applyProtection="1">
      <alignment/>
      <protection/>
    </xf>
    <xf numFmtId="0" fontId="45" fillId="0" borderId="0" xfId="0" applyFont="1" applyFill="1" applyBorder="1" applyAlignment="1" applyProtection="1">
      <alignment/>
      <protection/>
    </xf>
    <xf numFmtId="4" fontId="0" fillId="0" borderId="13"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4" fontId="2" fillId="38" borderId="13" xfId="0" applyNumberFormat="1" applyFont="1" applyFill="1" applyBorder="1" applyAlignment="1">
      <alignment horizontal="center" vertical="center"/>
    </xf>
    <xf numFmtId="0" fontId="0" fillId="0" borderId="20" xfId="0" applyFill="1" applyBorder="1" applyAlignment="1">
      <alignment/>
    </xf>
    <xf numFmtId="0" fontId="2" fillId="37" borderId="0" xfId="0" applyNumberFormat="1" applyFont="1" applyFill="1" applyBorder="1" applyAlignment="1">
      <alignment horizontal="right" vertical="center"/>
    </xf>
    <xf numFmtId="0" fontId="0" fillId="37" borderId="0" xfId="0" applyFill="1" applyBorder="1" applyAlignment="1">
      <alignment horizontal="right"/>
    </xf>
    <xf numFmtId="4" fontId="2" fillId="37" borderId="33" xfId="0" applyNumberFormat="1" applyFont="1" applyFill="1" applyBorder="1" applyAlignment="1">
      <alignment horizontal="center" vertical="center"/>
    </xf>
    <xf numFmtId="0" fontId="2" fillId="37" borderId="24" xfId="0" applyNumberFormat="1" applyFont="1" applyFill="1" applyBorder="1" applyAlignment="1">
      <alignment horizontal="right" vertical="center"/>
    </xf>
    <xf numFmtId="0" fontId="0" fillId="37" borderId="24" xfId="0" applyFill="1" applyBorder="1" applyAlignment="1">
      <alignment horizontal="right"/>
    </xf>
    <xf numFmtId="4" fontId="2" fillId="37" borderId="24" xfId="0" applyNumberFormat="1" applyFont="1" applyFill="1" applyBorder="1" applyAlignment="1">
      <alignment horizontal="center" vertical="center"/>
    </xf>
    <xf numFmtId="4" fontId="0" fillId="37" borderId="0" xfId="0" applyNumberFormat="1" applyFont="1" applyFill="1" applyBorder="1" applyAlignment="1">
      <alignment horizontal="center" vertical="center"/>
    </xf>
    <xf numFmtId="0" fontId="2" fillId="0" borderId="0" xfId="0" applyFont="1" applyFill="1" applyAlignment="1">
      <alignment wrapText="1"/>
    </xf>
    <xf numFmtId="0" fontId="0" fillId="0" borderId="40" xfId="0" applyBorder="1" applyAlignment="1">
      <alignment/>
    </xf>
    <xf numFmtId="0" fontId="51" fillId="36" borderId="0" xfId="0" applyFont="1" applyFill="1" applyBorder="1" applyAlignment="1">
      <alignment horizontal="center"/>
    </xf>
    <xf numFmtId="0" fontId="51" fillId="36" borderId="6" xfId="0" applyFont="1" applyFill="1" applyBorder="1" applyAlignment="1">
      <alignment horizontal="center"/>
    </xf>
    <xf numFmtId="4" fontId="51" fillId="36" borderId="0" xfId="0" applyNumberFormat="1" applyFont="1" applyFill="1" applyBorder="1" applyAlignment="1">
      <alignment horizontal="center"/>
    </xf>
    <xf numFmtId="0" fontId="12" fillId="36" borderId="0" xfId="0" applyFont="1" applyFill="1" applyBorder="1" applyAlignment="1">
      <alignment/>
    </xf>
    <xf numFmtId="4" fontId="51" fillId="36" borderId="15" xfId="0" applyNumberFormat="1" applyFont="1" applyFill="1" applyBorder="1" applyAlignment="1">
      <alignment horizontal="centerContinuous"/>
    </xf>
    <xf numFmtId="0" fontId="51" fillId="36" borderId="41" xfId="0" applyFont="1" applyFill="1" applyBorder="1" applyAlignment="1">
      <alignment horizontal="centerContinuous"/>
    </xf>
    <xf numFmtId="0" fontId="51" fillId="36" borderId="16" xfId="0" applyFont="1" applyFill="1" applyBorder="1" applyAlignment="1">
      <alignment horizontal="centerContinuous"/>
    </xf>
    <xf numFmtId="0" fontId="51" fillId="36" borderId="15" xfId="0" applyFont="1" applyFill="1" applyBorder="1" applyAlignment="1">
      <alignment horizontal="centerContinuous"/>
    </xf>
    <xf numFmtId="4" fontId="51" fillId="36" borderId="16" xfId="0" applyNumberFormat="1" applyFont="1" applyFill="1" applyBorder="1" applyAlignment="1">
      <alignment horizontal="centerContinuous"/>
    </xf>
    <xf numFmtId="165" fontId="51" fillId="36" borderId="12" xfId="0" applyNumberFormat="1" applyFont="1" applyFill="1" applyBorder="1" applyAlignment="1">
      <alignment horizontal="center"/>
    </xf>
    <xf numFmtId="0" fontId="51" fillId="36" borderId="0" xfId="0" applyFont="1" applyFill="1" applyBorder="1" applyAlignment="1">
      <alignment/>
    </xf>
    <xf numFmtId="4" fontId="51" fillId="36" borderId="37" xfId="0" applyNumberFormat="1" applyFont="1" applyFill="1" applyBorder="1" applyAlignment="1">
      <alignment/>
    </xf>
    <xf numFmtId="4" fontId="51" fillId="36" borderId="12" xfId="0" applyNumberFormat="1" applyFont="1" applyFill="1" applyBorder="1" applyAlignment="1">
      <alignment horizontal="center"/>
    </xf>
    <xf numFmtId="4" fontId="51" fillId="36" borderId="37" xfId="0" applyNumberFormat="1" applyFont="1" applyFill="1" applyBorder="1" applyAlignment="1">
      <alignment horizontal="center"/>
    </xf>
    <xf numFmtId="0" fontId="51" fillId="36" borderId="12" xfId="0" applyFont="1" applyFill="1" applyBorder="1" applyAlignment="1">
      <alignment horizontal="center"/>
    </xf>
    <xf numFmtId="0" fontId="12" fillId="36" borderId="13" xfId="0" applyFont="1" applyFill="1" applyBorder="1" applyAlignment="1">
      <alignment horizontal="center"/>
    </xf>
    <xf numFmtId="4" fontId="12" fillId="36" borderId="13" xfId="0" applyNumberFormat="1" applyFont="1" applyFill="1" applyBorder="1" applyAlignment="1">
      <alignment horizontal="center"/>
    </xf>
    <xf numFmtId="165" fontId="12" fillId="36" borderId="13" xfId="0" applyNumberFormat="1" applyFont="1" applyFill="1" applyBorder="1" applyAlignment="1">
      <alignment horizontal="center"/>
    </xf>
    <xf numFmtId="0" fontId="54" fillId="35" borderId="38" xfId="0" applyFont="1" applyFill="1" applyBorder="1" applyAlignment="1">
      <alignment vertical="center"/>
    </xf>
    <xf numFmtId="0" fontId="5" fillId="35" borderId="38" xfId="0" applyFont="1" applyFill="1" applyBorder="1" applyAlignment="1">
      <alignment vertical="center"/>
    </xf>
    <xf numFmtId="4" fontId="54" fillId="35" borderId="38" xfId="0" applyNumberFormat="1" applyFont="1" applyFill="1" applyBorder="1" applyAlignment="1">
      <alignment vertical="center"/>
    </xf>
    <xf numFmtId="167" fontId="54" fillId="35" borderId="38" xfId="0" applyNumberFormat="1" applyFont="1" applyFill="1" applyBorder="1" applyAlignment="1">
      <alignment vertical="center"/>
    </xf>
    <xf numFmtId="4" fontId="53" fillId="35" borderId="38" xfId="0" applyNumberFormat="1" applyFont="1" applyFill="1" applyBorder="1" applyAlignment="1">
      <alignment vertical="center"/>
    </xf>
    <xf numFmtId="1" fontId="54" fillId="35" borderId="38" xfId="0" applyNumberFormat="1" applyFont="1" applyFill="1" applyBorder="1" applyAlignment="1">
      <alignment vertical="center"/>
    </xf>
    <xf numFmtId="0" fontId="4" fillId="35" borderId="38" xfId="0" applyFont="1" applyFill="1" applyBorder="1" applyAlignment="1">
      <alignment vertical="center"/>
    </xf>
    <xf numFmtId="0" fontId="54" fillId="0" borderId="0" xfId="0" applyFont="1" applyFill="1" applyBorder="1" applyAlignment="1">
      <alignment vertical="center"/>
    </xf>
    <xf numFmtId="0" fontId="45" fillId="37" borderId="0" xfId="0" applyFont="1" applyFill="1" applyBorder="1" applyAlignment="1">
      <alignment/>
    </xf>
    <xf numFmtId="0" fontId="45" fillId="37" borderId="0" xfId="0" applyFont="1" applyFill="1" applyAlignment="1">
      <alignment/>
    </xf>
    <xf numFmtId="4" fontId="45" fillId="37" borderId="0" xfId="0" applyNumberFormat="1" applyFont="1" applyFill="1" applyBorder="1" applyAlignment="1">
      <alignment/>
    </xf>
    <xf numFmtId="165" fontId="45" fillId="37" borderId="0" xfId="0" applyNumberFormat="1" applyFont="1" applyFill="1" applyBorder="1" applyAlignment="1">
      <alignment/>
    </xf>
    <xf numFmtId="0" fontId="46" fillId="37" borderId="0" xfId="0" applyFont="1" applyFill="1" applyBorder="1" applyAlignment="1">
      <alignment horizontal="left"/>
    </xf>
    <xf numFmtId="4" fontId="46" fillId="37" borderId="0" xfId="0" applyNumberFormat="1" applyFont="1" applyFill="1" applyBorder="1" applyAlignment="1">
      <alignment horizontal="left"/>
    </xf>
    <xf numFmtId="0" fontId="47" fillId="37" borderId="0" xfId="0" applyFont="1" applyFill="1" applyBorder="1" applyAlignment="1">
      <alignment/>
    </xf>
    <xf numFmtId="0" fontId="48" fillId="37" borderId="0" xfId="0" applyFont="1" applyFill="1" applyBorder="1" applyAlignment="1">
      <alignment/>
    </xf>
    <xf numFmtId="4" fontId="48" fillId="37" borderId="0" xfId="0" applyNumberFormat="1" applyFont="1" applyFill="1" applyBorder="1" applyAlignment="1">
      <alignment/>
    </xf>
    <xf numFmtId="165" fontId="48" fillId="37" borderId="0" xfId="0" applyNumberFormat="1" applyFont="1" applyFill="1" applyBorder="1" applyAlignment="1">
      <alignment/>
    </xf>
    <xf numFmtId="0" fontId="50" fillId="37" borderId="0" xfId="0" applyFont="1" applyFill="1" applyBorder="1" applyAlignment="1">
      <alignment vertical="top"/>
    </xf>
    <xf numFmtId="4" fontId="50" fillId="37" borderId="0" xfId="0" applyNumberFormat="1" applyFont="1" applyFill="1" applyBorder="1" applyAlignment="1">
      <alignment vertical="top"/>
    </xf>
    <xf numFmtId="0" fontId="47" fillId="37" borderId="0" xfId="0" applyFont="1" applyFill="1" applyBorder="1" applyAlignment="1">
      <alignment vertical="top"/>
    </xf>
    <xf numFmtId="4" fontId="47" fillId="37" borderId="0" xfId="0" applyNumberFormat="1" applyFont="1" applyFill="1" applyBorder="1" applyAlignment="1">
      <alignment vertical="top"/>
    </xf>
    <xf numFmtId="165" fontId="47" fillId="37" borderId="0" xfId="0" applyNumberFormat="1" applyFont="1" applyFill="1" applyBorder="1" applyAlignment="1">
      <alignment vertical="top"/>
    </xf>
    <xf numFmtId="0" fontId="52" fillId="37" borderId="0" xfId="0" applyFont="1" applyFill="1" applyBorder="1" applyAlignment="1">
      <alignment/>
    </xf>
    <xf numFmtId="0" fontId="54" fillId="37" borderId="0" xfId="0" applyFont="1" applyFill="1" applyBorder="1" applyAlignment="1">
      <alignment vertical="center"/>
    </xf>
    <xf numFmtId="0" fontId="51" fillId="37" borderId="0" xfId="0" applyFont="1" applyFill="1" applyBorder="1" applyAlignment="1">
      <alignment horizontal="center"/>
    </xf>
    <xf numFmtId="0" fontId="12" fillId="37" borderId="0" xfId="0" applyFont="1" applyFill="1" applyBorder="1" applyAlignment="1">
      <alignment/>
    </xf>
    <xf numFmtId="0" fontId="52" fillId="37" borderId="0" xfId="0" applyFont="1" applyFill="1" applyBorder="1" applyAlignment="1">
      <alignment/>
    </xf>
    <xf numFmtId="0" fontId="52" fillId="43" borderId="42" xfId="0" applyFont="1" applyFill="1" applyBorder="1" applyAlignment="1">
      <alignment/>
    </xf>
    <xf numFmtId="0" fontId="55" fillId="37" borderId="0" xfId="0" applyFont="1" applyFill="1" applyBorder="1" applyAlignment="1">
      <alignment vertical="center"/>
    </xf>
    <xf numFmtId="0" fontId="45" fillId="0" borderId="20" xfId="0" applyFont="1" applyFill="1" applyBorder="1" applyAlignment="1">
      <alignment/>
    </xf>
    <xf numFmtId="0" fontId="47" fillId="0" borderId="20" xfId="0" applyFont="1" applyFill="1" applyBorder="1" applyAlignment="1">
      <alignment/>
    </xf>
    <xf numFmtId="0" fontId="47" fillId="0" borderId="20" xfId="0" applyFont="1" applyFill="1" applyBorder="1" applyAlignment="1">
      <alignment vertical="top"/>
    </xf>
    <xf numFmtId="0" fontId="51" fillId="0" borderId="20" xfId="0" applyFont="1" applyFill="1" applyBorder="1" applyAlignment="1">
      <alignment horizontal="center"/>
    </xf>
    <xf numFmtId="0" fontId="12" fillId="0" borderId="20" xfId="0" applyFont="1" applyFill="1" applyBorder="1" applyAlignment="1">
      <alignment/>
    </xf>
    <xf numFmtId="0" fontId="54" fillId="0" borderId="43" xfId="0" applyFont="1" applyFill="1" applyBorder="1" applyAlignment="1">
      <alignment vertical="center"/>
    </xf>
    <xf numFmtId="0" fontId="56" fillId="0" borderId="20" xfId="0" applyFont="1" applyFill="1" applyBorder="1" applyAlignment="1">
      <alignment/>
    </xf>
    <xf numFmtId="0" fontId="52" fillId="0" borderId="20" xfId="0" applyFont="1" applyFill="1" applyBorder="1" applyAlignment="1">
      <alignment/>
    </xf>
    <xf numFmtId="0" fontId="54" fillId="0" borderId="44" xfId="0" applyFont="1" applyFill="1" applyBorder="1" applyAlignment="1">
      <alignment vertical="center"/>
    </xf>
    <xf numFmtId="0" fontId="12" fillId="0" borderId="24" xfId="0" applyFont="1" applyFill="1" applyBorder="1" applyAlignment="1">
      <alignment/>
    </xf>
    <xf numFmtId="4" fontId="12" fillId="0" borderId="24" xfId="0" applyNumberFormat="1" applyFont="1" applyFill="1" applyBorder="1" applyAlignment="1">
      <alignment/>
    </xf>
    <xf numFmtId="165" fontId="12" fillId="0" borderId="24" xfId="0" applyNumberFormat="1" applyFont="1" applyFill="1" applyBorder="1" applyAlignment="1">
      <alignment/>
    </xf>
    <xf numFmtId="0" fontId="45" fillId="37" borderId="18" xfId="0" applyFont="1" applyFill="1" applyBorder="1" applyAlignment="1">
      <alignment/>
    </xf>
    <xf numFmtId="0" fontId="45" fillId="37" borderId="20" xfId="0" applyFont="1" applyFill="1" applyBorder="1" applyAlignment="1">
      <alignment/>
    </xf>
    <xf numFmtId="0" fontId="47" fillId="37" borderId="20" xfId="0" applyFont="1" applyFill="1" applyBorder="1" applyAlignment="1">
      <alignment/>
    </xf>
    <xf numFmtId="0" fontId="47" fillId="37" borderId="20" xfId="0" applyFont="1" applyFill="1" applyBorder="1" applyAlignment="1">
      <alignment vertical="top"/>
    </xf>
    <xf numFmtId="0" fontId="51" fillId="37" borderId="20" xfId="0" applyFont="1" applyFill="1" applyBorder="1" applyAlignment="1">
      <alignment horizontal="center"/>
    </xf>
    <xf numFmtId="0" fontId="12" fillId="37" borderId="20" xfId="0" applyFont="1" applyFill="1" applyBorder="1" applyAlignment="1">
      <alignment/>
    </xf>
    <xf numFmtId="0" fontId="54" fillId="37" borderId="20" xfId="0" applyFont="1" applyFill="1" applyBorder="1" applyAlignment="1">
      <alignment vertical="center"/>
    </xf>
    <xf numFmtId="0" fontId="56" fillId="37" borderId="20" xfId="0" applyFont="1" applyFill="1" applyBorder="1" applyAlignment="1">
      <alignment/>
    </xf>
    <xf numFmtId="0" fontId="52" fillId="37" borderId="20" xfId="0" applyFont="1" applyFill="1" applyBorder="1" applyAlignment="1">
      <alignment/>
    </xf>
    <xf numFmtId="0" fontId="54" fillId="37" borderId="24" xfId="0" applyFont="1" applyFill="1" applyBorder="1" applyAlignment="1">
      <alignment vertical="center"/>
    </xf>
    <xf numFmtId="0" fontId="54" fillId="37" borderId="22" xfId="0" applyFont="1" applyFill="1" applyBorder="1" applyAlignment="1">
      <alignment vertical="center"/>
    </xf>
    <xf numFmtId="2" fontId="2" fillId="36" borderId="12" xfId="0" applyNumberFormat="1" applyFont="1" applyFill="1" applyBorder="1" applyAlignment="1">
      <alignment horizontal="center" vertical="center"/>
    </xf>
    <xf numFmtId="2" fontId="2" fillId="36" borderId="12" xfId="0" applyNumberFormat="1" applyFont="1" applyFill="1" applyBorder="1" applyAlignment="1">
      <alignment horizontal="center" vertical="center" wrapText="1"/>
    </xf>
    <xf numFmtId="2" fontId="2" fillId="36" borderId="12" xfId="0" applyNumberFormat="1" applyFont="1" applyFill="1" applyBorder="1" applyAlignment="1" applyProtection="1">
      <alignment horizontal="center" vertical="center" wrapText="1"/>
      <protection/>
    </xf>
    <xf numFmtId="0" fontId="12" fillId="37" borderId="19" xfId="0" applyFont="1" applyFill="1" applyBorder="1" applyAlignment="1">
      <alignment/>
    </xf>
    <xf numFmtId="0" fontId="13" fillId="37" borderId="0" xfId="0" applyFont="1" applyFill="1" applyBorder="1" applyAlignment="1">
      <alignment/>
    </xf>
    <xf numFmtId="4" fontId="12" fillId="37" borderId="0" xfId="0" applyNumberFormat="1" applyFont="1" applyFill="1" applyBorder="1" applyAlignment="1">
      <alignment/>
    </xf>
    <xf numFmtId="0" fontId="12" fillId="37" borderId="23" xfId="0" applyFont="1" applyFill="1" applyBorder="1" applyAlignment="1">
      <alignment/>
    </xf>
    <xf numFmtId="4" fontId="12" fillId="37" borderId="24" xfId="0" applyNumberFormat="1" applyFont="1" applyFill="1" applyBorder="1" applyAlignment="1">
      <alignment/>
    </xf>
    <xf numFmtId="0" fontId="12" fillId="37" borderId="24" xfId="0" applyFont="1" applyFill="1" applyBorder="1" applyAlignment="1">
      <alignment/>
    </xf>
    <xf numFmtId="2" fontId="0" fillId="36" borderId="12" xfId="0" applyNumberFormat="1" applyFont="1" applyFill="1" applyBorder="1" applyAlignment="1">
      <alignment horizontal="left" vertical="center"/>
    </xf>
    <xf numFmtId="0" fontId="0" fillId="36" borderId="12" xfId="0" applyFill="1" applyBorder="1" applyAlignment="1">
      <alignment horizontal="left" vertical="center" wrapText="1"/>
    </xf>
    <xf numFmtId="2" fontId="0" fillId="36" borderId="12" xfId="0" applyNumberFormat="1" applyFont="1" applyFill="1" applyBorder="1" applyAlignment="1">
      <alignment horizontal="left" vertical="center" wrapText="1"/>
    </xf>
    <xf numFmtId="0" fontId="61" fillId="37" borderId="0" xfId="0" applyFont="1" applyFill="1" applyBorder="1" applyAlignment="1" applyProtection="1">
      <alignment horizontal="left"/>
      <protection/>
    </xf>
    <xf numFmtId="0" fontId="46" fillId="37" borderId="0" xfId="0" applyFont="1" applyFill="1" applyBorder="1" applyAlignment="1" applyProtection="1">
      <alignment horizontal="left"/>
      <protection/>
    </xf>
    <xf numFmtId="0" fontId="47" fillId="37" borderId="0" xfId="0" applyFont="1" applyFill="1" applyBorder="1" applyAlignment="1" applyProtection="1">
      <alignment/>
      <protection/>
    </xf>
    <xf numFmtId="0" fontId="48" fillId="37" borderId="0" xfId="0" applyFont="1" applyFill="1" applyBorder="1" applyAlignment="1" applyProtection="1">
      <alignment/>
      <protection/>
    </xf>
    <xf numFmtId="164" fontId="48" fillId="37" borderId="0" xfId="0" applyNumberFormat="1" applyFont="1" applyFill="1" applyBorder="1" applyAlignment="1" applyProtection="1">
      <alignment/>
      <protection/>
    </xf>
    <xf numFmtId="0" fontId="0" fillId="37" borderId="0" xfId="0" applyFill="1" applyBorder="1" applyAlignment="1">
      <alignment horizontal="left"/>
    </xf>
    <xf numFmtId="2" fontId="0" fillId="37" borderId="0" xfId="0" applyNumberFormat="1" applyFill="1" applyBorder="1" applyAlignment="1">
      <alignment horizontal="left"/>
    </xf>
    <xf numFmtId="2" fontId="3" fillId="37" borderId="0" xfId="0" applyNumberFormat="1" applyFont="1" applyFill="1" applyBorder="1" applyAlignment="1">
      <alignment/>
    </xf>
    <xf numFmtId="0" fontId="0" fillId="0" borderId="24" xfId="0" applyFill="1" applyBorder="1" applyAlignment="1">
      <alignment horizontal="left"/>
    </xf>
    <xf numFmtId="2" fontId="0" fillId="0" borderId="24" xfId="0" applyNumberFormat="1" applyFill="1" applyBorder="1" applyAlignment="1">
      <alignment horizontal="left"/>
    </xf>
    <xf numFmtId="2" fontId="3" fillId="0" borderId="24" xfId="0" applyNumberFormat="1" applyFont="1" applyFill="1" applyBorder="1" applyAlignment="1">
      <alignment/>
    </xf>
    <xf numFmtId="2" fontId="0" fillId="0" borderId="24" xfId="0" applyNumberFormat="1" applyFill="1" applyBorder="1" applyAlignment="1">
      <alignment/>
    </xf>
    <xf numFmtId="0" fontId="0" fillId="0" borderId="24" xfId="0" applyFill="1" applyBorder="1" applyAlignment="1">
      <alignment/>
    </xf>
    <xf numFmtId="0" fontId="18" fillId="37" borderId="19" xfId="0" applyFont="1" applyFill="1" applyBorder="1" applyAlignment="1">
      <alignment/>
    </xf>
    <xf numFmtId="0" fontId="12" fillId="37" borderId="17" xfId="0" applyFont="1" applyFill="1" applyBorder="1" applyAlignment="1">
      <alignment/>
    </xf>
    <xf numFmtId="0" fontId="12" fillId="37" borderId="11" xfId="0" applyFont="1" applyFill="1" applyBorder="1" applyAlignment="1">
      <alignment/>
    </xf>
    <xf numFmtId="4" fontId="12" fillId="37" borderId="11" xfId="0" applyNumberFormat="1" applyFont="1" applyFill="1" applyBorder="1" applyAlignment="1">
      <alignment/>
    </xf>
    <xf numFmtId="165" fontId="12" fillId="37" borderId="22" xfId="0" applyNumberFormat="1" applyFont="1" applyFill="1" applyBorder="1" applyAlignment="1">
      <alignment/>
    </xf>
    <xf numFmtId="4" fontId="2" fillId="37" borderId="0" xfId="0" applyNumberFormat="1" applyFont="1" applyFill="1" applyBorder="1" applyAlignment="1">
      <alignment horizontal="center" vertical="center"/>
    </xf>
    <xf numFmtId="4" fontId="0" fillId="37" borderId="0" xfId="0" applyNumberFormat="1" applyFill="1" applyBorder="1" applyAlignment="1">
      <alignment horizontal="center" vertical="center" wrapText="1"/>
    </xf>
    <xf numFmtId="4" fontId="0" fillId="37" borderId="0" xfId="0" applyNumberFormat="1" applyFill="1" applyBorder="1" applyAlignment="1">
      <alignment horizontal="center" vertical="center"/>
    </xf>
    <xf numFmtId="2" fontId="2" fillId="40" borderId="12" xfId="0" applyNumberFormat="1" applyFont="1" applyFill="1" applyBorder="1" applyAlignment="1">
      <alignment/>
    </xf>
    <xf numFmtId="0" fontId="5" fillId="37" borderId="19" xfId="0" applyFont="1" applyFill="1" applyBorder="1" applyAlignment="1">
      <alignment vertical="center"/>
    </xf>
    <xf numFmtId="4" fontId="54" fillId="37" borderId="0" xfId="0" applyNumberFormat="1" applyFont="1" applyFill="1" applyBorder="1" applyAlignment="1">
      <alignment vertical="center"/>
    </xf>
    <xf numFmtId="0" fontId="0" fillId="37" borderId="0" xfId="0" applyFill="1" applyBorder="1" applyAlignment="1">
      <alignment horizontal="center"/>
    </xf>
    <xf numFmtId="0" fontId="6" fillId="37" borderId="11" xfId="0" applyFont="1" applyFill="1" applyBorder="1" applyAlignment="1">
      <alignment vertical="center"/>
    </xf>
    <xf numFmtId="0" fontId="0" fillId="37" borderId="0" xfId="0" applyFill="1" applyBorder="1" applyAlignment="1">
      <alignment vertical="center"/>
    </xf>
    <xf numFmtId="0" fontId="0" fillId="37" borderId="24" xfId="0" applyFill="1" applyBorder="1" applyAlignment="1">
      <alignment horizontal="center"/>
    </xf>
    <xf numFmtId="0" fontId="0" fillId="0" borderId="23" xfId="0" applyFill="1" applyBorder="1" applyAlignment="1">
      <alignment/>
    </xf>
    <xf numFmtId="0" fontId="0" fillId="0" borderId="22" xfId="0" applyFill="1" applyBorder="1" applyAlignment="1">
      <alignment/>
    </xf>
    <xf numFmtId="0" fontId="0" fillId="0" borderId="11" xfId="0" applyFill="1" applyBorder="1" applyAlignment="1">
      <alignment/>
    </xf>
    <xf numFmtId="0" fontId="30" fillId="0" borderId="0" xfId="0" applyFont="1" applyAlignment="1">
      <alignment/>
    </xf>
    <xf numFmtId="0" fontId="30" fillId="0" borderId="6" xfId="0" applyFont="1" applyBorder="1" applyAlignment="1">
      <alignment/>
    </xf>
    <xf numFmtId="0" fontId="6" fillId="0" borderId="11" xfId="0" applyFont="1" applyFill="1" applyBorder="1" applyAlignment="1">
      <alignment/>
    </xf>
    <xf numFmtId="0" fontId="18" fillId="0" borderId="11" xfId="0" applyFont="1" applyFill="1" applyBorder="1" applyAlignment="1">
      <alignment horizontal="center"/>
    </xf>
    <xf numFmtId="2" fontId="0" fillId="0" borderId="11" xfId="0" applyNumberFormat="1" applyFill="1" applyBorder="1" applyAlignment="1">
      <alignment/>
    </xf>
    <xf numFmtId="2" fontId="0" fillId="0" borderId="18" xfId="0" applyNumberFormat="1" applyFill="1" applyBorder="1" applyAlignment="1">
      <alignment/>
    </xf>
    <xf numFmtId="2" fontId="0" fillId="0" borderId="20" xfId="0" applyNumberFormat="1" applyFill="1" applyBorder="1" applyAlignment="1">
      <alignment/>
    </xf>
    <xf numFmtId="0" fontId="0" fillId="0" borderId="19" xfId="0" applyFill="1" applyBorder="1" applyAlignment="1">
      <alignment/>
    </xf>
    <xf numFmtId="0" fontId="2" fillId="0" borderId="17" xfId="0" applyFont="1" applyFill="1" applyBorder="1" applyAlignment="1">
      <alignment vertical="center"/>
    </xf>
    <xf numFmtId="0" fontId="0" fillId="0" borderId="23" xfId="0" applyFill="1" applyBorder="1" applyAlignment="1">
      <alignment horizontal="left"/>
    </xf>
    <xf numFmtId="2" fontId="2" fillId="0" borderId="20" xfId="0" applyNumberFormat="1" applyFont="1" applyFill="1" applyBorder="1" applyAlignment="1">
      <alignment/>
    </xf>
    <xf numFmtId="2" fontId="0" fillId="0" borderId="22" xfId="0" applyNumberFormat="1" applyFill="1" applyBorder="1" applyAlignment="1">
      <alignment horizontal="left"/>
    </xf>
    <xf numFmtId="0" fontId="0" fillId="0" borderId="18" xfId="0" applyFill="1" applyBorder="1" applyAlignment="1">
      <alignment/>
    </xf>
    <xf numFmtId="0" fontId="2" fillId="0" borderId="24" xfId="0" applyFont="1" applyFill="1" applyBorder="1" applyAlignment="1">
      <alignment wrapText="1"/>
    </xf>
    <xf numFmtId="0" fontId="0" fillId="0" borderId="24" xfId="0" applyBorder="1" applyAlignment="1">
      <alignment/>
    </xf>
    <xf numFmtId="0" fontId="0" fillId="0" borderId="22" xfId="0" applyBorder="1" applyAlignment="1">
      <alignment/>
    </xf>
    <xf numFmtId="0" fontId="63" fillId="0" borderId="0" xfId="0" applyFont="1" applyFill="1" applyAlignment="1">
      <alignment/>
    </xf>
    <xf numFmtId="0" fontId="63" fillId="0" borderId="0" xfId="0" applyFont="1" applyFill="1" applyBorder="1" applyAlignment="1">
      <alignment wrapText="1"/>
    </xf>
    <xf numFmtId="0" fontId="65" fillId="0" borderId="0" xfId="0" applyFont="1" applyAlignment="1">
      <alignment/>
    </xf>
    <xf numFmtId="0" fontId="63" fillId="0" borderId="0" xfId="0" applyFont="1" applyFill="1" applyBorder="1" applyAlignment="1">
      <alignment/>
    </xf>
    <xf numFmtId="0" fontId="12" fillId="0" borderId="23" xfId="0" applyFont="1" applyFill="1" applyBorder="1" applyAlignment="1">
      <alignment/>
    </xf>
    <xf numFmtId="0" fontId="56" fillId="37" borderId="45" xfId="0" applyFont="1" applyFill="1" applyBorder="1" applyAlignment="1" applyProtection="1">
      <alignment/>
      <protection locked="0"/>
    </xf>
    <xf numFmtId="4" fontId="56" fillId="37" borderId="45" xfId="0" applyNumberFormat="1" applyFont="1" applyFill="1" applyBorder="1" applyAlignment="1" applyProtection="1">
      <alignment/>
      <protection locked="0"/>
    </xf>
    <xf numFmtId="0" fontId="67" fillId="37" borderId="45" xfId="0" applyFont="1" applyFill="1" applyBorder="1" applyAlignment="1">
      <alignment/>
    </xf>
    <xf numFmtId="0" fontId="56" fillId="37" borderId="45" xfId="0" applyFont="1" applyFill="1" applyBorder="1" applyAlignment="1">
      <alignment/>
    </xf>
    <xf numFmtId="4" fontId="52" fillId="37" borderId="45" xfId="0" applyNumberFormat="1" applyFont="1" applyFill="1" applyBorder="1" applyAlignment="1">
      <alignment/>
    </xf>
    <xf numFmtId="0" fontId="0" fillId="0" borderId="0" xfId="0" applyFill="1" applyAlignment="1">
      <alignment wrapText="1"/>
    </xf>
    <xf numFmtId="0" fontId="0" fillId="0" borderId="0" xfId="0" applyFill="1" applyBorder="1" applyAlignment="1">
      <alignment wrapText="1"/>
    </xf>
    <xf numFmtId="0" fontId="0" fillId="0" borderId="46" xfId="0" applyFill="1" applyBorder="1" applyAlignment="1">
      <alignment wrapText="1"/>
    </xf>
    <xf numFmtId="0" fontId="0" fillId="0" borderId="47" xfId="0" applyFill="1" applyBorder="1" applyAlignment="1">
      <alignment wrapText="1"/>
    </xf>
    <xf numFmtId="0" fontId="0" fillId="0" borderId="46" xfId="0" applyFill="1" applyBorder="1" applyAlignment="1">
      <alignment/>
    </xf>
    <xf numFmtId="0" fontId="0" fillId="0" borderId="47" xfId="0" applyFill="1" applyBorder="1" applyAlignment="1">
      <alignment/>
    </xf>
    <xf numFmtId="4" fontId="0" fillId="35" borderId="26" xfId="0" applyNumberFormat="1" applyFill="1" applyBorder="1" applyAlignment="1">
      <alignment horizontal="center" vertical="center" wrapText="1"/>
    </xf>
    <xf numFmtId="2" fontId="0" fillId="35" borderId="12" xfId="0" applyNumberFormat="1" applyFont="1" applyFill="1" applyBorder="1" applyAlignment="1">
      <alignment horizontal="center" vertical="center" wrapText="1"/>
    </xf>
    <xf numFmtId="4" fontId="0" fillId="35" borderId="12" xfId="0" applyNumberFormat="1" applyFill="1" applyBorder="1" applyAlignment="1">
      <alignment horizontal="center" vertical="center" wrapText="1"/>
    </xf>
    <xf numFmtId="2" fontId="0" fillId="38" borderId="12" xfId="0" applyNumberFormat="1" applyFont="1" applyFill="1" applyBorder="1" applyAlignment="1">
      <alignment horizontal="center" vertical="center" wrapText="1"/>
    </xf>
    <xf numFmtId="0" fontId="23" fillId="37" borderId="0" xfId="0" applyNumberFormat="1" applyFont="1" applyFill="1" applyBorder="1" applyAlignment="1">
      <alignment horizontal="left" vertical="center"/>
    </xf>
    <xf numFmtId="0" fontId="0" fillId="37" borderId="0" xfId="0" applyFill="1" applyBorder="1" applyAlignment="1">
      <alignment horizontal="left" vertical="center" wrapText="1"/>
    </xf>
    <xf numFmtId="0" fontId="0" fillId="0" borderId="12" xfId="0" applyFill="1" applyBorder="1" applyAlignment="1">
      <alignment horizontal="fill" vertical="center" wrapText="1"/>
    </xf>
    <xf numFmtId="0" fontId="47" fillId="37" borderId="37" xfId="0" applyFont="1" applyFill="1" applyBorder="1" applyAlignment="1">
      <alignment vertical="top"/>
    </xf>
    <xf numFmtId="0" fontId="52" fillId="37" borderId="37" xfId="0" applyFont="1" applyFill="1" applyBorder="1" applyAlignment="1">
      <alignment/>
    </xf>
    <xf numFmtId="0" fontId="5" fillId="37" borderId="17" xfId="0" applyFont="1" applyFill="1" applyBorder="1" applyAlignment="1">
      <alignment vertical="center"/>
    </xf>
    <xf numFmtId="0" fontId="53" fillId="37" borderId="11" xfId="0" applyFont="1" applyFill="1" applyBorder="1" applyAlignment="1">
      <alignment vertical="center"/>
    </xf>
    <xf numFmtId="4" fontId="54" fillId="37" borderId="11" xfId="0" applyNumberFormat="1" applyFont="1" applyFill="1" applyBorder="1" applyAlignment="1">
      <alignment vertical="center"/>
    </xf>
    <xf numFmtId="0" fontId="54" fillId="37" borderId="11" xfId="0" applyFont="1" applyFill="1" applyBorder="1" applyAlignment="1">
      <alignment vertical="center"/>
    </xf>
    <xf numFmtId="0" fontId="54" fillId="37" borderId="18" xfId="0" applyFont="1" applyFill="1" applyBorder="1" applyAlignment="1">
      <alignment vertical="center"/>
    </xf>
    <xf numFmtId="0" fontId="12" fillId="37" borderId="18" xfId="0" applyFont="1" applyFill="1" applyBorder="1" applyAlignment="1">
      <alignment/>
    </xf>
    <xf numFmtId="0" fontId="18" fillId="37" borderId="0" xfId="0" applyFont="1" applyFill="1" applyBorder="1" applyAlignment="1">
      <alignment horizontal="right"/>
    </xf>
    <xf numFmtId="0" fontId="53" fillId="43" borderId="21" xfId="0" applyFont="1" applyFill="1" applyBorder="1" applyAlignment="1">
      <alignment/>
    </xf>
    <xf numFmtId="0" fontId="53" fillId="43" borderId="48" xfId="0" applyFont="1" applyFill="1" applyBorder="1" applyAlignment="1">
      <alignment/>
    </xf>
    <xf numFmtId="0" fontId="53" fillId="43" borderId="49" xfId="0" applyFont="1" applyFill="1" applyBorder="1" applyAlignment="1">
      <alignment/>
    </xf>
    <xf numFmtId="0" fontId="61" fillId="37" borderId="17" xfId="0" applyFont="1" applyFill="1" applyBorder="1" applyAlignment="1">
      <alignment/>
    </xf>
    <xf numFmtId="0" fontId="54" fillId="37" borderId="23" xfId="0" applyFont="1" applyFill="1" applyBorder="1" applyAlignment="1">
      <alignment vertical="center"/>
    </xf>
    <xf numFmtId="164" fontId="45" fillId="37" borderId="11" xfId="0" applyNumberFormat="1" applyFont="1" applyFill="1" applyBorder="1" applyAlignment="1" applyProtection="1">
      <alignment/>
      <protection/>
    </xf>
    <xf numFmtId="4" fontId="2" fillId="37" borderId="0" xfId="0" applyNumberFormat="1" applyFont="1" applyFill="1" applyBorder="1" applyAlignment="1">
      <alignment horizontal="center" vertical="center" wrapText="1"/>
    </xf>
    <xf numFmtId="3" fontId="0" fillId="37" borderId="0" xfId="0" applyNumberFormat="1" applyFont="1" applyFill="1" applyBorder="1" applyAlignment="1">
      <alignment horizontal="center" vertical="center" wrapText="1"/>
    </xf>
    <xf numFmtId="2" fontId="4" fillId="37" borderId="0" xfId="0" applyNumberFormat="1" applyFont="1" applyFill="1" applyBorder="1" applyAlignment="1">
      <alignment horizontal="center" vertical="center" wrapText="1"/>
    </xf>
    <xf numFmtId="3" fontId="52" fillId="45" borderId="0" xfId="0" applyNumberFormat="1" applyFont="1" applyFill="1" applyBorder="1" applyAlignment="1" applyProtection="1">
      <alignment/>
      <protection locked="0"/>
    </xf>
    <xf numFmtId="0" fontId="52" fillId="45" borderId="50" xfId="0" applyFont="1" applyFill="1" applyBorder="1" applyAlignment="1" applyProtection="1">
      <alignment/>
      <protection locked="0"/>
    </xf>
    <xf numFmtId="0" fontId="52" fillId="45" borderId="51" xfId="0" applyFont="1" applyFill="1" applyBorder="1" applyAlignment="1" applyProtection="1">
      <alignment/>
      <protection locked="0"/>
    </xf>
    <xf numFmtId="0" fontId="45" fillId="37" borderId="17" xfId="0" applyFont="1" applyFill="1" applyBorder="1" applyAlignment="1">
      <alignment/>
    </xf>
    <xf numFmtId="0" fontId="45" fillId="37" borderId="11" xfId="0" applyFont="1" applyFill="1" applyBorder="1" applyAlignment="1">
      <alignment/>
    </xf>
    <xf numFmtId="4" fontId="45" fillId="37" borderId="11" xfId="0" applyNumberFormat="1" applyFont="1" applyFill="1" applyBorder="1" applyAlignment="1">
      <alignment/>
    </xf>
    <xf numFmtId="165" fontId="45" fillId="37" borderId="11" xfId="0" applyNumberFormat="1" applyFont="1" applyFill="1" applyBorder="1" applyAlignment="1">
      <alignment/>
    </xf>
    <xf numFmtId="0" fontId="45" fillId="37" borderId="19" xfId="0" applyFont="1" applyFill="1" applyBorder="1" applyAlignment="1">
      <alignment/>
    </xf>
    <xf numFmtId="0" fontId="61" fillId="37" borderId="19" xfId="0" applyFont="1" applyFill="1" applyBorder="1" applyAlignment="1">
      <alignment horizontal="left"/>
    </xf>
    <xf numFmtId="0" fontId="56" fillId="37" borderId="19" xfId="0" applyFont="1" applyFill="1" applyBorder="1" applyAlignment="1">
      <alignment vertical="top"/>
    </xf>
    <xf numFmtId="0" fontId="51" fillId="37" borderId="19" xfId="0" applyFont="1" applyFill="1" applyBorder="1" applyAlignment="1">
      <alignment horizontal="center"/>
    </xf>
    <xf numFmtId="165" fontId="51" fillId="36" borderId="0" xfId="0" applyNumberFormat="1" applyFont="1" applyFill="1" applyBorder="1" applyAlignment="1">
      <alignment horizontal="center"/>
    </xf>
    <xf numFmtId="0" fontId="12" fillId="37" borderId="20" xfId="0" applyFont="1" applyFill="1" applyBorder="1" applyAlignment="1">
      <alignment/>
    </xf>
    <xf numFmtId="0" fontId="12" fillId="37" borderId="31" xfId="0" applyFont="1" applyFill="1" applyBorder="1" applyAlignment="1">
      <alignment/>
    </xf>
    <xf numFmtId="0" fontId="54" fillId="37" borderId="19" xfId="0" applyFont="1" applyFill="1" applyBorder="1" applyAlignment="1">
      <alignment vertical="center"/>
    </xf>
    <xf numFmtId="0" fontId="56" fillId="37" borderId="19" xfId="0" applyFont="1" applyFill="1" applyBorder="1" applyAlignment="1">
      <alignment/>
    </xf>
    <xf numFmtId="0" fontId="52" fillId="37" borderId="0" xfId="0" applyFont="1" applyFill="1" applyBorder="1" applyAlignment="1">
      <alignment horizontal="right"/>
    </xf>
    <xf numFmtId="0" fontId="56" fillId="37" borderId="20" xfId="0" applyFont="1" applyFill="1" applyBorder="1" applyAlignment="1">
      <alignment/>
    </xf>
    <xf numFmtId="0" fontId="52" fillId="37" borderId="19" xfId="0" applyFont="1" applyFill="1" applyBorder="1" applyAlignment="1">
      <alignment/>
    </xf>
    <xf numFmtId="0" fontId="52" fillId="37" borderId="20" xfId="0" applyFont="1" applyFill="1" applyBorder="1" applyAlignment="1">
      <alignment/>
    </xf>
    <xf numFmtId="0" fontId="52" fillId="37" borderId="31" xfId="0" applyFont="1" applyFill="1" applyBorder="1" applyAlignment="1">
      <alignment/>
    </xf>
    <xf numFmtId="0" fontId="52" fillId="0" borderId="19" xfId="0" applyFont="1" applyFill="1" applyBorder="1" applyAlignment="1">
      <alignment/>
    </xf>
    <xf numFmtId="0" fontId="59" fillId="0" borderId="0" xfId="0" applyFont="1" applyFill="1" applyBorder="1" applyAlignment="1">
      <alignment/>
    </xf>
    <xf numFmtId="0" fontId="45" fillId="37" borderId="11" xfId="0" applyFont="1" applyFill="1" applyBorder="1" applyAlignment="1" applyProtection="1">
      <alignment/>
      <protection/>
    </xf>
    <xf numFmtId="0" fontId="46" fillId="37" borderId="19" xfId="0" applyFont="1" applyFill="1" applyBorder="1" applyAlignment="1" applyProtection="1">
      <alignment horizontal="left"/>
      <protection/>
    </xf>
    <xf numFmtId="0" fontId="0" fillId="37" borderId="37" xfId="0" applyFill="1" applyBorder="1" applyAlignment="1">
      <alignment/>
    </xf>
    <xf numFmtId="0" fontId="0" fillId="0" borderId="52" xfId="0" applyFill="1" applyBorder="1" applyAlignment="1">
      <alignment/>
    </xf>
    <xf numFmtId="0" fontId="63" fillId="0" borderId="53" xfId="0" applyFont="1" applyFill="1" applyBorder="1" applyAlignment="1">
      <alignment/>
    </xf>
    <xf numFmtId="0" fontId="18" fillId="0" borderId="53" xfId="0" applyFont="1" applyFill="1" applyBorder="1" applyAlignment="1">
      <alignment/>
    </xf>
    <xf numFmtId="2" fontId="0" fillId="0" borderId="53" xfId="0" applyNumberFormat="1" applyFill="1" applyBorder="1" applyAlignment="1">
      <alignment/>
    </xf>
    <xf numFmtId="2" fontId="0" fillId="0" borderId="54" xfId="0" applyNumberFormat="1" applyFill="1" applyBorder="1" applyAlignment="1">
      <alignment/>
    </xf>
    <xf numFmtId="0" fontId="0" fillId="0" borderId="55" xfId="0" applyFill="1" applyBorder="1" applyAlignment="1">
      <alignment/>
    </xf>
    <xf numFmtId="0" fontId="31" fillId="0" borderId="56" xfId="0" applyFont="1" applyFill="1" applyBorder="1" applyAlignment="1">
      <alignment/>
    </xf>
    <xf numFmtId="0" fontId="0" fillId="0" borderId="56" xfId="0" applyFill="1" applyBorder="1" applyAlignment="1">
      <alignment/>
    </xf>
    <xf numFmtId="0" fontId="0" fillId="0" borderId="57" xfId="0" applyFill="1" applyBorder="1" applyAlignment="1">
      <alignment/>
    </xf>
    <xf numFmtId="3" fontId="0" fillId="37" borderId="12" xfId="0" applyNumberFormat="1" applyFont="1" applyFill="1" applyBorder="1" applyAlignment="1">
      <alignment horizontal="center" vertical="center" wrapText="1"/>
    </xf>
    <xf numFmtId="3" fontId="0" fillId="37" borderId="26" xfId="0" applyNumberFormat="1" applyFont="1" applyFill="1" applyBorder="1" applyAlignment="1">
      <alignment horizontal="center" vertical="center" wrapText="1"/>
    </xf>
    <xf numFmtId="4" fontId="0" fillId="37" borderId="12" xfId="0" applyNumberFormat="1" applyFont="1" applyFill="1" applyBorder="1" applyAlignment="1">
      <alignment horizontal="center" vertical="center" wrapText="1"/>
    </xf>
    <xf numFmtId="2" fontId="0" fillId="0" borderId="0" xfId="0" applyNumberFormat="1" applyFill="1" applyBorder="1" applyAlignment="1">
      <alignment horizontal="left" vertical="center"/>
    </xf>
    <xf numFmtId="4" fontId="0" fillId="0" borderId="0" xfId="0" applyNumberFormat="1" applyFill="1" applyAlignment="1">
      <alignment/>
    </xf>
    <xf numFmtId="0" fontId="0" fillId="0" borderId="0" xfId="0" applyNumberFormat="1" applyFill="1" applyAlignment="1">
      <alignment/>
    </xf>
    <xf numFmtId="0" fontId="0" fillId="37" borderId="19" xfId="0" applyNumberFormat="1" applyFill="1" applyBorder="1" applyAlignment="1">
      <alignment/>
    </xf>
    <xf numFmtId="0" fontId="0" fillId="37" borderId="0" xfId="0" applyNumberFormat="1" applyFill="1" applyBorder="1" applyAlignment="1">
      <alignment/>
    </xf>
    <xf numFmtId="11" fontId="0" fillId="38" borderId="12" xfId="0" applyNumberFormat="1" applyFill="1" applyBorder="1" applyAlignment="1">
      <alignment/>
    </xf>
    <xf numFmtId="4" fontId="0" fillId="46" borderId="12" xfId="0" applyNumberFormat="1" applyFill="1" applyBorder="1" applyAlignment="1">
      <alignment horizontal="center" vertical="center"/>
    </xf>
    <xf numFmtId="11" fontId="0" fillId="38" borderId="12" xfId="0" applyNumberFormat="1" applyFill="1" applyBorder="1" applyAlignment="1">
      <alignment horizontal="center" vertical="center"/>
    </xf>
    <xf numFmtId="11" fontId="0" fillId="46" borderId="12" xfId="0" applyNumberFormat="1" applyFill="1" applyBorder="1" applyAlignment="1">
      <alignment horizontal="center" vertical="center"/>
    </xf>
    <xf numFmtId="0" fontId="0" fillId="37" borderId="21" xfId="0" applyNumberFormat="1" applyFill="1" applyBorder="1" applyAlignment="1">
      <alignment wrapText="1"/>
    </xf>
    <xf numFmtId="0" fontId="0" fillId="37" borderId="58" xfId="0" applyFill="1" applyBorder="1" applyAlignment="1">
      <alignment/>
    </xf>
    <xf numFmtId="0" fontId="6" fillId="37" borderId="0" xfId="0" applyFont="1" applyFill="1" applyBorder="1" applyAlignment="1">
      <alignment/>
    </xf>
    <xf numFmtId="0" fontId="0" fillId="0" borderId="16" xfId="0" applyFill="1" applyBorder="1" applyAlignment="1">
      <alignment horizontal="center" vertical="center" wrapText="1"/>
    </xf>
    <xf numFmtId="0" fontId="1" fillId="37" borderId="0" xfId="0" applyFont="1" applyFill="1" applyBorder="1" applyAlignment="1">
      <alignment/>
    </xf>
    <xf numFmtId="0" fontId="0" fillId="0" borderId="19" xfId="0" applyBorder="1" applyAlignment="1">
      <alignment/>
    </xf>
    <xf numFmtId="2" fontId="0" fillId="37" borderId="0" xfId="0" applyNumberFormat="1" applyFill="1" applyAlignment="1">
      <alignment/>
    </xf>
    <xf numFmtId="0" fontId="2" fillId="38" borderId="12" xfId="0" applyNumberFormat="1" applyFont="1" applyFill="1" applyBorder="1" applyAlignment="1">
      <alignment horizontal="center" vertical="center"/>
    </xf>
    <xf numFmtId="0" fontId="0" fillId="38" borderId="14" xfId="0" applyFill="1" applyBorder="1" applyAlignment="1">
      <alignment horizontal="center" vertical="center"/>
    </xf>
    <xf numFmtId="4" fontId="6" fillId="38" borderId="12" xfId="0" applyNumberFormat="1" applyFont="1" applyFill="1" applyBorder="1" applyAlignment="1">
      <alignment horizontal="right"/>
    </xf>
    <xf numFmtId="0" fontId="2" fillId="37" borderId="0" xfId="0" applyFont="1" applyFill="1" applyAlignment="1">
      <alignment/>
    </xf>
    <xf numFmtId="2" fontId="0" fillId="0" borderId="15" xfId="0" applyNumberFormat="1" applyFont="1" applyFill="1" applyBorder="1" applyAlignment="1">
      <alignment horizontal="center" vertical="center" wrapText="1"/>
    </xf>
    <xf numFmtId="1" fontId="0" fillId="37" borderId="12" xfId="0" applyNumberFormat="1" applyFont="1" applyFill="1" applyBorder="1" applyAlignment="1">
      <alignment horizontal="center" vertical="center" wrapText="1"/>
    </xf>
    <xf numFmtId="0" fontId="1" fillId="37" borderId="0" xfId="0" applyFont="1" applyFill="1" applyBorder="1" applyAlignment="1">
      <alignment horizontal="right" vertical="top"/>
    </xf>
    <xf numFmtId="0" fontId="0" fillId="45" borderId="59" xfId="0" applyFill="1" applyBorder="1" applyAlignment="1">
      <alignment/>
    </xf>
    <xf numFmtId="0" fontId="0" fillId="45" borderId="12" xfId="0" applyFill="1" applyBorder="1" applyAlignment="1">
      <alignment/>
    </xf>
    <xf numFmtId="0" fontId="0" fillId="45" borderId="39" xfId="0" applyFill="1" applyBorder="1" applyAlignment="1">
      <alignment horizontal="right"/>
    </xf>
    <xf numFmtId="167" fontId="58" fillId="45" borderId="14" xfId="0" applyNumberFormat="1" applyFont="1" applyFill="1" applyBorder="1" applyAlignment="1">
      <alignment/>
    </xf>
    <xf numFmtId="167" fontId="58" fillId="45" borderId="39" xfId="0" applyNumberFormat="1" applyFont="1" applyFill="1" applyBorder="1" applyAlignment="1">
      <alignment/>
    </xf>
    <xf numFmtId="167" fontId="58" fillId="45" borderId="60" xfId="0" applyNumberFormat="1" applyFont="1" applyFill="1" applyBorder="1" applyAlignment="1">
      <alignment/>
    </xf>
    <xf numFmtId="167" fontId="58" fillId="45" borderId="6" xfId="0" applyNumberFormat="1" applyFont="1" applyFill="1" applyBorder="1" applyAlignment="1">
      <alignment/>
    </xf>
    <xf numFmtId="0" fontId="52" fillId="40" borderId="14" xfId="0" applyFont="1" applyFill="1" applyBorder="1" applyAlignment="1" applyProtection="1">
      <alignment/>
      <protection locked="0"/>
    </xf>
    <xf numFmtId="0" fontId="52" fillId="40" borderId="12" xfId="0" applyFont="1" applyFill="1" applyBorder="1" applyAlignment="1" applyProtection="1">
      <alignment/>
      <protection locked="0"/>
    </xf>
    <xf numFmtId="0" fontId="52" fillId="40" borderId="39" xfId="0" applyFont="1" applyFill="1" applyBorder="1" applyAlignment="1" applyProtection="1">
      <alignment/>
      <protection locked="0"/>
    </xf>
    <xf numFmtId="0" fontId="52" fillId="40" borderId="13" xfId="0" applyFont="1" applyFill="1" applyBorder="1" applyAlignment="1" applyProtection="1">
      <alignment/>
      <protection locked="0"/>
    </xf>
    <xf numFmtId="0" fontId="0" fillId="45" borderId="0" xfId="0" applyFill="1" applyBorder="1" applyAlignment="1">
      <alignment/>
    </xf>
    <xf numFmtId="167" fontId="58" fillId="45" borderId="12" xfId="0" applyNumberFormat="1" applyFont="1" applyFill="1" applyBorder="1" applyAlignment="1">
      <alignment/>
    </xf>
    <xf numFmtId="4" fontId="52" fillId="40" borderId="12" xfId="0" applyNumberFormat="1" applyFont="1" applyFill="1" applyBorder="1" applyAlignment="1" applyProtection="1">
      <alignment/>
      <protection locked="0"/>
    </xf>
    <xf numFmtId="4" fontId="52" fillId="40" borderId="39" xfId="0" applyNumberFormat="1" applyFont="1" applyFill="1" applyBorder="1" applyAlignment="1" applyProtection="1">
      <alignment/>
      <protection locked="0"/>
    </xf>
    <xf numFmtId="4" fontId="52" fillId="40" borderId="14" xfId="0" applyNumberFormat="1" applyFont="1" applyFill="1" applyBorder="1" applyAlignment="1" applyProtection="1">
      <alignment/>
      <protection locked="0"/>
    </xf>
    <xf numFmtId="0" fontId="52" fillId="40" borderId="59" xfId="0" applyFont="1" applyFill="1" applyBorder="1" applyAlignment="1" applyProtection="1">
      <alignment/>
      <protection locked="0"/>
    </xf>
    <xf numFmtId="0" fontId="2" fillId="0" borderId="19" xfId="0" applyFont="1" applyFill="1" applyBorder="1" applyAlignment="1">
      <alignment vertical="center"/>
    </xf>
    <xf numFmtId="0" fontId="0" fillId="0" borderId="61" xfId="0" applyFill="1" applyBorder="1" applyAlignment="1">
      <alignment/>
    </xf>
    <xf numFmtId="0" fontId="14" fillId="0" borderId="0" xfId="0" applyFont="1" applyAlignment="1">
      <alignment horizontal="right"/>
    </xf>
    <xf numFmtId="0" fontId="0" fillId="0" borderId="0" xfId="0" applyFont="1" applyAlignment="1">
      <alignment/>
    </xf>
    <xf numFmtId="0" fontId="0" fillId="37" borderId="20" xfId="0" applyFont="1" applyFill="1" applyBorder="1" applyAlignment="1">
      <alignment vertical="center"/>
    </xf>
    <xf numFmtId="49" fontId="6" fillId="37" borderId="0" xfId="0" applyNumberFormat="1" applyFont="1" applyFill="1" applyBorder="1" applyAlignment="1">
      <alignment horizontal="right" vertical="top"/>
    </xf>
    <xf numFmtId="0" fontId="6" fillId="37" borderId="0" xfId="0" applyFont="1" applyFill="1" applyBorder="1" applyAlignment="1">
      <alignment horizontal="center"/>
    </xf>
    <xf numFmtId="0" fontId="0" fillId="37" borderId="24" xfId="0" applyFill="1" applyBorder="1" applyAlignment="1">
      <alignment horizontal="left" vertical="center"/>
    </xf>
    <xf numFmtId="0" fontId="52" fillId="37" borderId="0" xfId="0" applyFont="1" applyFill="1" applyAlignment="1">
      <alignment/>
    </xf>
    <xf numFmtId="0" fontId="54" fillId="0" borderId="62" xfId="0" applyFont="1" applyFill="1" applyBorder="1" applyAlignment="1">
      <alignment vertical="center"/>
    </xf>
    <xf numFmtId="0" fontId="12" fillId="0" borderId="62" xfId="0" applyFont="1" applyFill="1" applyBorder="1" applyAlignment="1">
      <alignment/>
    </xf>
    <xf numFmtId="0" fontId="0" fillId="0" borderId="62" xfId="0" applyFill="1" applyBorder="1" applyAlignment="1">
      <alignment/>
    </xf>
    <xf numFmtId="0" fontId="12" fillId="0" borderId="19" xfId="0" applyFont="1" applyFill="1" applyBorder="1" applyAlignment="1">
      <alignment/>
    </xf>
    <xf numFmtId="164" fontId="58" fillId="37" borderId="63" xfId="0" applyNumberFormat="1" applyFont="1" applyFill="1" applyBorder="1" applyAlignment="1">
      <alignment horizontal="right"/>
    </xf>
    <xf numFmtId="164" fontId="0" fillId="45" borderId="12" xfId="0" applyNumberFormat="1" applyFill="1" applyBorder="1" applyAlignment="1">
      <alignment horizontal="right"/>
    </xf>
    <xf numFmtId="164" fontId="58" fillId="45" borderId="14" xfId="0" applyNumberFormat="1" applyFont="1" applyFill="1" applyBorder="1" applyAlignment="1">
      <alignment/>
    </xf>
    <xf numFmtId="164" fontId="58" fillId="45" borderId="63" xfId="0" applyNumberFormat="1" applyFont="1" applyFill="1" applyBorder="1" applyAlignment="1">
      <alignment horizontal="right"/>
    </xf>
    <xf numFmtId="165" fontId="53" fillId="37" borderId="24" xfId="0" applyNumberFormat="1" applyFont="1" applyFill="1" applyBorder="1" applyAlignment="1">
      <alignment vertical="center"/>
    </xf>
    <xf numFmtId="0" fontId="5" fillId="35" borderId="64" xfId="0" applyFont="1" applyFill="1" applyBorder="1" applyAlignment="1">
      <alignment vertical="center"/>
    </xf>
    <xf numFmtId="0" fontId="53" fillId="35" borderId="65" xfId="0" applyFont="1" applyFill="1" applyBorder="1" applyAlignment="1">
      <alignment vertical="center"/>
    </xf>
    <xf numFmtId="4" fontId="54" fillId="35" borderId="64" xfId="0" applyNumberFormat="1" applyFont="1" applyFill="1" applyBorder="1" applyAlignment="1">
      <alignment vertical="center"/>
    </xf>
    <xf numFmtId="0" fontId="54" fillId="35" borderId="64" xfId="0" applyFont="1" applyFill="1" applyBorder="1" applyAlignment="1">
      <alignment vertical="center"/>
    </xf>
    <xf numFmtId="167" fontId="54" fillId="35" borderId="64" xfId="0" applyNumberFormat="1" applyFont="1" applyFill="1" applyBorder="1" applyAlignment="1">
      <alignment vertical="center"/>
    </xf>
    <xf numFmtId="165" fontId="53" fillId="35" borderId="64" xfId="0" applyNumberFormat="1" applyFont="1" applyFill="1" applyBorder="1" applyAlignment="1">
      <alignment vertical="center"/>
    </xf>
    <xf numFmtId="0" fontId="54" fillId="0" borderId="17" xfId="0" applyFont="1" applyFill="1" applyBorder="1" applyAlignment="1">
      <alignment vertical="center"/>
    </xf>
    <xf numFmtId="0" fontId="2" fillId="37" borderId="6" xfId="0" applyFont="1" applyFill="1" applyBorder="1" applyAlignment="1">
      <alignment wrapText="1"/>
    </xf>
    <xf numFmtId="0" fontId="0" fillId="37" borderId="31" xfId="0" applyFill="1" applyBorder="1" applyAlignment="1">
      <alignment wrapText="1"/>
    </xf>
    <xf numFmtId="0" fontId="0" fillId="38" borderId="66" xfId="0" applyFill="1" applyBorder="1" applyAlignment="1">
      <alignment horizontal="center" vertical="center" wrapText="1"/>
    </xf>
    <xf numFmtId="0" fontId="53" fillId="35" borderId="64" xfId="0" applyFont="1" applyFill="1" applyBorder="1" applyAlignment="1">
      <alignment vertical="center"/>
    </xf>
    <xf numFmtId="0" fontId="0" fillId="0" borderId="18" xfId="0" applyBorder="1" applyAlignment="1">
      <alignment/>
    </xf>
    <xf numFmtId="0" fontId="0" fillId="0" borderId="20" xfId="0" applyBorder="1" applyAlignment="1">
      <alignment/>
    </xf>
    <xf numFmtId="0" fontId="52" fillId="40" borderId="60" xfId="0" applyFont="1" applyFill="1" applyBorder="1" applyAlignment="1" applyProtection="1">
      <alignment/>
      <protection locked="0"/>
    </xf>
    <xf numFmtId="0" fontId="52" fillId="40" borderId="67" xfId="0" applyFont="1" applyFill="1" applyBorder="1" applyAlignment="1" applyProtection="1">
      <alignment/>
      <protection locked="0"/>
    </xf>
    <xf numFmtId="0" fontId="51" fillId="36" borderId="67" xfId="0" applyFont="1" applyFill="1" applyBorder="1" applyAlignment="1">
      <alignment/>
    </xf>
    <xf numFmtId="0" fontId="54" fillId="35" borderId="68" xfId="0" applyFont="1" applyFill="1" applyBorder="1" applyAlignment="1">
      <alignment vertical="center"/>
    </xf>
    <xf numFmtId="0" fontId="47" fillId="37" borderId="12" xfId="0" applyFont="1" applyFill="1" applyBorder="1" applyAlignment="1">
      <alignment vertical="top"/>
    </xf>
    <xf numFmtId="0" fontId="56" fillId="37" borderId="16" xfId="0" applyFont="1" applyFill="1" applyBorder="1" applyAlignment="1">
      <alignment/>
    </xf>
    <xf numFmtId="0" fontId="49" fillId="37" borderId="20" xfId="0" applyFont="1" applyFill="1" applyBorder="1" applyAlignment="1">
      <alignment vertical="center"/>
    </xf>
    <xf numFmtId="0" fontId="54" fillId="35" borderId="0" xfId="0" applyFont="1" applyFill="1" applyBorder="1" applyAlignment="1">
      <alignment vertical="center"/>
    </xf>
    <xf numFmtId="0" fontId="5" fillId="35" borderId="14" xfId="0" applyFont="1" applyFill="1" applyBorder="1" applyAlignment="1">
      <alignment vertical="center" wrapText="1"/>
    </xf>
    <xf numFmtId="0" fontId="12" fillId="36" borderId="13" xfId="0" applyFont="1" applyFill="1" applyBorder="1" applyAlignment="1">
      <alignment horizontal="center" vertical="center" wrapText="1"/>
    </xf>
    <xf numFmtId="0" fontId="2" fillId="0" borderId="12" xfId="0" applyFont="1" applyBorder="1" applyAlignment="1">
      <alignment wrapText="1"/>
    </xf>
    <xf numFmtId="4" fontId="2" fillId="0" borderId="12" xfId="0" applyNumberFormat="1" applyFont="1" applyFill="1" applyBorder="1" applyAlignment="1">
      <alignment horizontal="center" vertical="center" wrapText="1"/>
    </xf>
    <xf numFmtId="2" fontId="0" fillId="37" borderId="0" xfId="0" applyNumberFormat="1" applyFont="1" applyFill="1" applyBorder="1" applyAlignment="1">
      <alignment/>
    </xf>
    <xf numFmtId="2" fontId="0" fillId="37" borderId="0" xfId="0" applyNumberFormat="1" applyFont="1" applyFill="1" applyBorder="1" applyAlignment="1">
      <alignment wrapText="1"/>
    </xf>
    <xf numFmtId="0" fontId="2" fillId="35" borderId="14" xfId="0" applyFont="1" applyFill="1" applyBorder="1" applyAlignment="1">
      <alignment wrapText="1"/>
    </xf>
    <xf numFmtId="0" fontId="0" fillId="37" borderId="26" xfId="0"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0" fillId="0" borderId="24" xfId="0" applyBorder="1" applyAlignment="1">
      <alignment/>
    </xf>
    <xf numFmtId="0" fontId="53" fillId="35" borderId="13" xfId="0" applyFont="1" applyFill="1" applyBorder="1" applyAlignment="1">
      <alignment horizontal="center" vertical="center" wrapText="1"/>
    </xf>
    <xf numFmtId="0" fontId="1" fillId="0" borderId="0" xfId="0" applyFont="1" applyFill="1" applyBorder="1" applyAlignment="1">
      <alignment/>
    </xf>
    <xf numFmtId="0" fontId="1" fillId="0" borderId="19" xfId="0" applyFont="1" applyFill="1" applyBorder="1" applyAlignment="1">
      <alignment/>
    </xf>
    <xf numFmtId="0" fontId="0" fillId="0" borderId="11" xfId="0" applyBorder="1" applyAlignment="1">
      <alignment/>
    </xf>
    <xf numFmtId="0" fontId="0" fillId="37" borderId="69" xfId="0" applyFill="1" applyBorder="1" applyAlignment="1">
      <alignment/>
    </xf>
    <xf numFmtId="2" fontId="1" fillId="0" borderId="0" xfId="0" applyNumberFormat="1" applyFont="1" applyFill="1" applyBorder="1" applyAlignment="1">
      <alignment/>
    </xf>
    <xf numFmtId="0" fontId="6" fillId="0" borderId="0" xfId="0" applyFont="1" applyFill="1" applyBorder="1" applyAlignment="1">
      <alignment/>
    </xf>
    <xf numFmtId="4" fontId="2" fillId="0" borderId="11" xfId="0" applyNumberFormat="1" applyFont="1" applyFill="1" applyBorder="1" applyAlignment="1">
      <alignment horizontal="center" vertical="center"/>
    </xf>
    <xf numFmtId="0" fontId="0" fillId="0" borderId="0" xfId="0" applyFont="1" applyFill="1" applyBorder="1" applyAlignment="1">
      <alignment/>
    </xf>
    <xf numFmtId="2" fontId="6" fillId="37" borderId="0" xfId="0" applyNumberFormat="1" applyFont="1" applyFill="1" applyBorder="1" applyAlignment="1">
      <alignment horizontal="center" vertical="center" wrapText="1"/>
    </xf>
    <xf numFmtId="4" fontId="0" fillId="40" borderId="12" xfId="0" applyNumberFormat="1" applyFill="1" applyBorder="1" applyAlignment="1" applyProtection="1">
      <alignment horizontal="center" vertical="center" wrapText="1"/>
      <protection locked="0"/>
    </xf>
    <xf numFmtId="2" fontId="0" fillId="41" borderId="12" xfId="0" applyNumberFormat="1" applyFill="1" applyBorder="1" applyAlignment="1" applyProtection="1">
      <alignment horizontal="center" vertical="center" wrapText="1"/>
      <protection locked="0"/>
    </xf>
    <xf numFmtId="4" fontId="0" fillId="40" borderId="12" xfId="0" applyNumberFormat="1" applyFill="1" applyBorder="1" applyAlignment="1" applyProtection="1">
      <alignment horizontal="center" vertical="center"/>
      <protection locked="0"/>
    </xf>
    <xf numFmtId="2" fontId="0" fillId="40" borderId="12" xfId="0" applyNumberFormat="1" applyFill="1" applyBorder="1" applyAlignment="1" applyProtection="1">
      <alignment horizontal="center" vertical="center" wrapText="1"/>
      <protection locked="0"/>
    </xf>
    <xf numFmtId="3" fontId="52" fillId="45" borderId="0" xfId="0" applyNumberFormat="1" applyFont="1" applyFill="1" applyBorder="1" applyAlignment="1" applyProtection="1">
      <alignment/>
      <protection/>
    </xf>
    <xf numFmtId="2" fontId="0" fillId="40" borderId="12" xfId="0" applyNumberFormat="1" applyFill="1" applyBorder="1" applyAlignment="1" applyProtection="1">
      <alignment horizontal="center" vertical="center"/>
      <protection locked="0"/>
    </xf>
    <xf numFmtId="2" fontId="0" fillId="40" borderId="12" xfId="0" applyNumberFormat="1" applyFont="1" applyFill="1" applyBorder="1" applyAlignment="1" applyProtection="1">
      <alignment horizontal="center" vertical="center"/>
      <protection locked="0"/>
    </xf>
    <xf numFmtId="0" fontId="0" fillId="40" borderId="12" xfId="0" applyFill="1" applyBorder="1" applyAlignment="1" applyProtection="1">
      <alignment/>
      <protection locked="0"/>
    </xf>
    <xf numFmtId="0" fontId="6" fillId="40" borderId="12" xfId="0" applyFont="1" applyFill="1" applyBorder="1" applyAlignment="1" applyProtection="1">
      <alignment/>
      <protection locked="0"/>
    </xf>
    <xf numFmtId="2" fontId="0" fillId="40" borderId="12" xfId="0" applyNumberFormat="1" applyFont="1" applyFill="1" applyBorder="1" applyAlignment="1" applyProtection="1">
      <alignment horizontal="center" vertical="center" wrapText="1"/>
      <protection locked="0"/>
    </xf>
    <xf numFmtId="3" fontId="0" fillId="40" borderId="14" xfId="0" applyNumberFormat="1" applyFill="1" applyBorder="1" applyAlignment="1" applyProtection="1">
      <alignment horizontal="center" vertical="center"/>
      <protection locked="0"/>
    </xf>
    <xf numFmtId="2" fontId="0" fillId="40" borderId="14" xfId="0" applyNumberFormat="1" applyFill="1" applyBorder="1" applyAlignment="1" applyProtection="1">
      <alignment horizontal="center" vertical="center" wrapText="1"/>
      <protection locked="0"/>
    </xf>
    <xf numFmtId="4" fontId="0" fillId="40" borderId="14" xfId="0" applyNumberFormat="1" applyFill="1" applyBorder="1" applyAlignment="1" applyProtection="1">
      <alignment horizontal="center" vertical="center"/>
      <protection locked="0"/>
    </xf>
    <xf numFmtId="4" fontId="0" fillId="40" borderId="16" xfId="0" applyNumberFormat="1" applyFill="1" applyBorder="1" applyAlignment="1" applyProtection="1">
      <alignment horizontal="center" vertical="center" wrapText="1"/>
      <protection locked="0"/>
    </xf>
    <xf numFmtId="4" fontId="0" fillId="40" borderId="21" xfId="0" applyNumberFormat="1" applyFill="1" applyBorder="1" applyAlignment="1" applyProtection="1">
      <alignment horizontal="center" vertical="center" wrapText="1"/>
      <protection locked="0"/>
    </xf>
    <xf numFmtId="4" fontId="0" fillId="41" borderId="26" xfId="0" applyNumberFormat="1" applyFill="1" applyBorder="1" applyAlignment="1" applyProtection="1">
      <alignment horizontal="center" vertical="center" wrapText="1"/>
      <protection locked="0"/>
    </xf>
    <xf numFmtId="4" fontId="0" fillId="41" borderId="12" xfId="0" applyNumberFormat="1" applyFill="1" applyBorder="1" applyAlignment="1" applyProtection="1">
      <alignment horizontal="center" vertical="center" wrapText="1"/>
      <protection locked="0"/>
    </xf>
    <xf numFmtId="0" fontId="0" fillId="40" borderId="12" xfId="0" applyFill="1" applyBorder="1" applyAlignment="1" applyProtection="1">
      <alignment horizontal="center" vertical="center"/>
      <protection locked="0"/>
    </xf>
    <xf numFmtId="4" fontId="0" fillId="39" borderId="12" xfId="0" applyNumberFormat="1" applyFill="1" applyBorder="1" applyAlignment="1" applyProtection="1">
      <alignment wrapText="1"/>
      <protection locked="0"/>
    </xf>
    <xf numFmtId="2" fontId="0" fillId="40" borderId="16" xfId="0" applyNumberFormat="1" applyFill="1" applyBorder="1" applyAlignment="1" applyProtection="1">
      <alignment horizontal="center" vertical="center" wrapText="1"/>
      <protection locked="0"/>
    </xf>
    <xf numFmtId="4" fontId="0" fillId="39" borderId="12" xfId="0" applyNumberFormat="1" applyFont="1" applyFill="1" applyBorder="1" applyAlignment="1" applyProtection="1">
      <alignment wrapText="1"/>
      <protection locked="0"/>
    </xf>
    <xf numFmtId="2" fontId="0" fillId="40" borderId="70" xfId="0" applyNumberFormat="1" applyFill="1" applyBorder="1" applyAlignment="1" applyProtection="1">
      <alignment horizontal="center" vertical="center" wrapText="1"/>
      <protection locked="0"/>
    </xf>
    <xf numFmtId="4" fontId="0" fillId="39" borderId="12" xfId="0" applyNumberFormat="1" applyFill="1" applyBorder="1" applyAlignment="1" applyProtection="1">
      <alignment horizontal="left" vertical="center" wrapText="1"/>
      <protection locked="0"/>
    </xf>
    <xf numFmtId="4" fontId="0" fillId="39" borderId="12" xfId="0" applyNumberFormat="1" applyFill="1" applyBorder="1" applyAlignment="1" applyProtection="1">
      <alignment horizontal="center" vertical="center" wrapText="1"/>
      <protection locked="0"/>
    </xf>
    <xf numFmtId="4" fontId="0" fillId="40" borderId="12" xfId="0" applyNumberFormat="1" applyFont="1" applyFill="1" applyBorder="1" applyAlignment="1" applyProtection="1">
      <alignment horizontal="center" vertical="center"/>
      <protection locked="0"/>
    </xf>
    <xf numFmtId="2" fontId="0" fillId="40" borderId="12" xfId="0" applyNumberFormat="1" applyFont="1" applyFill="1" applyBorder="1" applyAlignment="1" applyProtection="1">
      <alignment horizontal="center" vertical="center" wrapText="1"/>
      <protection locked="0"/>
    </xf>
    <xf numFmtId="0" fontId="0" fillId="39" borderId="12" xfId="0" applyFill="1" applyBorder="1" applyAlignment="1" applyProtection="1">
      <alignment horizontal="center" vertical="center" wrapText="1"/>
      <protection locked="0"/>
    </xf>
    <xf numFmtId="2" fontId="0" fillId="39" borderId="12" xfId="0" applyNumberFormat="1" applyFill="1" applyBorder="1" applyAlignment="1" applyProtection="1">
      <alignment horizontal="center" vertical="center" wrapText="1"/>
      <protection locked="0"/>
    </xf>
    <xf numFmtId="2" fontId="0" fillId="39" borderId="16" xfId="0" applyNumberFormat="1" applyFill="1" applyBorder="1" applyAlignment="1" applyProtection="1">
      <alignment horizontal="center" vertical="center" wrapText="1"/>
      <protection locked="0"/>
    </xf>
    <xf numFmtId="2" fontId="0" fillId="39" borderId="12" xfId="0" applyNumberFormat="1" applyFont="1" applyFill="1" applyBorder="1" applyAlignment="1" applyProtection="1">
      <alignment horizontal="center" vertical="center" wrapText="1"/>
      <protection locked="0"/>
    </xf>
    <xf numFmtId="0" fontId="52" fillId="39" borderId="14" xfId="0" applyFont="1" applyFill="1" applyBorder="1" applyAlignment="1" applyProtection="1">
      <alignment wrapText="1"/>
      <protection locked="0"/>
    </xf>
    <xf numFmtId="0" fontId="52" fillId="39" borderId="12" xfId="0" applyFont="1" applyFill="1" applyBorder="1" applyAlignment="1" applyProtection="1">
      <alignment wrapText="1"/>
      <protection locked="0"/>
    </xf>
    <xf numFmtId="0" fontId="52" fillId="39" borderId="39" xfId="0" applyFont="1" applyFill="1" applyBorder="1" applyAlignment="1" applyProtection="1">
      <alignment wrapText="1"/>
      <protection locked="0"/>
    </xf>
    <xf numFmtId="0" fontId="52" fillId="39" borderId="60" xfId="0" applyFont="1" applyFill="1" applyBorder="1" applyAlignment="1" applyProtection="1">
      <alignment wrapText="1"/>
      <protection locked="0"/>
    </xf>
    <xf numFmtId="0" fontId="52" fillId="39" borderId="67" xfId="0" applyFont="1" applyFill="1" applyBorder="1" applyAlignment="1" applyProtection="1">
      <alignment wrapText="1"/>
      <protection locked="0"/>
    </xf>
    <xf numFmtId="0" fontId="52" fillId="39" borderId="13" xfId="0" applyFont="1" applyFill="1" applyBorder="1" applyAlignment="1" applyProtection="1">
      <alignment wrapText="1"/>
      <protection locked="0"/>
    </xf>
    <xf numFmtId="0" fontId="52" fillId="39" borderId="59" xfId="0" applyFont="1" applyFill="1" applyBorder="1" applyAlignment="1" applyProtection="1">
      <alignment wrapText="1"/>
      <protection locked="0"/>
    </xf>
    <xf numFmtId="2" fontId="0" fillId="40" borderId="71" xfId="0" applyNumberFormat="1" applyFill="1" applyBorder="1" applyAlignment="1" applyProtection="1">
      <alignment horizontal="center" vertical="center" wrapText="1"/>
      <protection locked="0"/>
    </xf>
    <xf numFmtId="2" fontId="0" fillId="40" borderId="72" xfId="0" applyNumberFormat="1" applyFill="1" applyBorder="1" applyAlignment="1" applyProtection="1">
      <alignment horizontal="center" vertical="center" wrapText="1"/>
      <protection locked="0"/>
    </xf>
    <xf numFmtId="0" fontId="0" fillId="40" borderId="30" xfId="0" applyFill="1" applyBorder="1" applyAlignment="1" applyProtection="1">
      <alignment wrapText="1"/>
      <protection locked="0"/>
    </xf>
    <xf numFmtId="0" fontId="0" fillId="40" borderId="73" xfId="0" applyFill="1" applyBorder="1" applyAlignment="1" applyProtection="1">
      <alignment wrapText="1"/>
      <protection locked="0"/>
    </xf>
    <xf numFmtId="0" fontId="52" fillId="40" borderId="14" xfId="0" applyFont="1" applyFill="1" applyBorder="1" applyAlignment="1" applyProtection="1">
      <alignment wrapText="1"/>
      <protection locked="0"/>
    </xf>
    <xf numFmtId="0" fontId="52" fillId="40" borderId="12" xfId="0" applyFont="1" applyFill="1" applyBorder="1" applyAlignment="1" applyProtection="1">
      <alignment wrapText="1"/>
      <protection locked="0"/>
    </xf>
    <xf numFmtId="0" fontId="52" fillId="40" borderId="39" xfId="0" applyFont="1" applyFill="1" applyBorder="1" applyAlignment="1" applyProtection="1">
      <alignment wrapText="1"/>
      <protection locked="0"/>
    </xf>
    <xf numFmtId="0" fontId="52" fillId="40" borderId="25" xfId="0" applyFont="1" applyFill="1" applyBorder="1" applyAlignment="1" applyProtection="1">
      <alignment wrapText="1"/>
      <protection locked="0"/>
    </xf>
    <xf numFmtId="0" fontId="52" fillId="40" borderId="6" xfId="0" applyFont="1" applyFill="1" applyBorder="1" applyAlignment="1" applyProtection="1">
      <alignment wrapText="1"/>
      <protection locked="0"/>
    </xf>
    <xf numFmtId="4" fontId="0" fillId="39" borderId="12" xfId="0" applyNumberFormat="1" applyFont="1" applyFill="1" applyBorder="1" applyAlignment="1" applyProtection="1">
      <alignment vertical="top" wrapText="1"/>
      <protection locked="0"/>
    </xf>
    <xf numFmtId="0" fontId="0" fillId="37" borderId="0" xfId="0" applyFill="1" applyBorder="1" applyAlignment="1">
      <alignment horizontal="right" vertical="top"/>
    </xf>
    <xf numFmtId="0" fontId="0" fillId="37" borderId="0" xfId="0" applyFill="1" applyAlignment="1">
      <alignment wrapText="1"/>
    </xf>
    <xf numFmtId="2" fontId="0" fillId="0" borderId="0" xfId="0" applyNumberFormat="1" applyFill="1" applyBorder="1" applyAlignment="1" applyProtection="1">
      <alignment horizontal="left" vertical="center" wrapText="1"/>
      <protection/>
    </xf>
    <xf numFmtId="2" fontId="0" fillId="0" borderId="0" xfId="0" applyNumberFormat="1" applyFill="1" applyBorder="1" applyAlignment="1" applyProtection="1">
      <alignment horizontal="left" vertical="center"/>
      <protection/>
    </xf>
    <xf numFmtId="2" fontId="0" fillId="0" borderId="0" xfId="0" applyNumberFormat="1" applyFill="1" applyBorder="1" applyAlignment="1" applyProtection="1">
      <alignment horizontal="center" vertical="center"/>
      <protection/>
    </xf>
    <xf numFmtId="2" fontId="0" fillId="37" borderId="20" xfId="0" applyNumberFormat="1" applyFill="1" applyBorder="1" applyAlignment="1" applyProtection="1">
      <alignment horizontal="center" vertical="center"/>
      <protection/>
    </xf>
    <xf numFmtId="0" fontId="0" fillId="37" borderId="22"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2" fillId="37" borderId="6" xfId="0" applyFont="1" applyFill="1" applyBorder="1" applyAlignment="1">
      <alignment horizontal="center" vertical="center"/>
    </xf>
    <xf numFmtId="0" fontId="0" fillId="0" borderId="0" xfId="0" applyFill="1" applyAlignment="1">
      <alignment vertical="center"/>
    </xf>
    <xf numFmtId="0" fontId="2" fillId="36" borderId="15" xfId="0" applyFont="1" applyFill="1" applyBorder="1" applyAlignment="1">
      <alignment horizontal="center" vertical="center" wrapText="1"/>
    </xf>
    <xf numFmtId="2" fontId="0" fillId="36" borderId="15" xfId="0" applyNumberFormat="1" applyFill="1" applyBorder="1" applyAlignment="1">
      <alignment horizontal="center" vertical="center" wrapText="1"/>
    </xf>
    <xf numFmtId="2" fontId="0" fillId="0" borderId="15" xfId="0" applyNumberFormat="1" applyFont="1" applyFill="1" applyBorder="1" applyAlignment="1">
      <alignment horizontal="center" vertical="center"/>
    </xf>
    <xf numFmtId="0" fontId="2" fillId="36" borderId="12" xfId="0" applyFont="1" applyFill="1" applyBorder="1" applyAlignment="1">
      <alignment horizontal="center" vertical="center" wrapText="1"/>
    </xf>
    <xf numFmtId="2" fontId="0" fillId="36" borderId="12" xfId="0" applyNumberFormat="1" applyFill="1" applyBorder="1" applyAlignment="1">
      <alignment horizontal="center" vertical="center" wrapText="1"/>
    </xf>
    <xf numFmtId="2" fontId="0" fillId="36" borderId="12" xfId="0" applyNumberFormat="1" applyFill="1" applyBorder="1" applyAlignment="1">
      <alignment horizontal="left" vertical="center" wrapText="1"/>
    </xf>
    <xf numFmtId="0" fontId="5" fillId="35" borderId="12" xfId="0" applyFont="1" applyFill="1" applyBorder="1" applyAlignment="1">
      <alignment horizontal="left" vertical="center"/>
    </xf>
    <xf numFmtId="164" fontId="0" fillId="36" borderId="12" xfId="0" applyNumberFormat="1" applyFont="1" applyFill="1" applyBorder="1" applyAlignment="1">
      <alignment horizontal="center" vertical="center"/>
    </xf>
    <xf numFmtId="167" fontId="0" fillId="36" borderId="12" xfId="0" applyNumberFormat="1" applyFont="1" applyFill="1" applyBorder="1" applyAlignment="1">
      <alignment horizontal="center" vertical="center" wrapText="1"/>
    </xf>
    <xf numFmtId="2" fontId="2" fillId="37" borderId="0" xfId="0" applyNumberFormat="1" applyFont="1" applyFill="1" applyBorder="1" applyAlignment="1" applyProtection="1">
      <alignment horizontal="center" vertical="center" wrapText="1"/>
      <protection/>
    </xf>
    <xf numFmtId="2" fontId="0" fillId="36" borderId="12" xfId="0" applyNumberFormat="1" applyFont="1" applyFill="1" applyBorder="1" applyAlignment="1" applyProtection="1">
      <alignment horizontal="center" vertical="center" wrapText="1"/>
      <protection/>
    </xf>
    <xf numFmtId="166" fontId="0" fillId="36" borderId="12" xfId="0" applyNumberFormat="1" applyFont="1" applyFill="1" applyBorder="1" applyAlignment="1" applyProtection="1">
      <alignment horizontal="center" vertical="center"/>
      <protection/>
    </xf>
    <xf numFmtId="164" fontId="0" fillId="45" borderId="39" xfId="0" applyNumberFormat="1" applyFill="1" applyBorder="1" applyAlignment="1">
      <alignment horizontal="right"/>
    </xf>
    <xf numFmtId="0" fontId="52" fillId="37" borderId="24" xfId="0" applyFont="1" applyFill="1" applyBorder="1" applyAlignment="1">
      <alignment/>
    </xf>
    <xf numFmtId="0" fontId="52" fillId="37" borderId="22" xfId="0" applyFont="1" applyFill="1" applyBorder="1" applyAlignment="1">
      <alignment/>
    </xf>
    <xf numFmtId="0" fontId="52" fillId="37" borderId="6" xfId="0" applyFont="1" applyFill="1" applyBorder="1" applyAlignment="1">
      <alignment/>
    </xf>
    <xf numFmtId="4" fontId="52" fillId="37" borderId="14" xfId="0" applyNumberFormat="1" applyFont="1" applyFill="1" applyBorder="1" applyAlignment="1">
      <alignment/>
    </xf>
    <xf numFmtId="4" fontId="52" fillId="37" borderId="12" xfId="0" applyNumberFormat="1" applyFont="1" applyFill="1" applyBorder="1" applyAlignment="1">
      <alignment/>
    </xf>
    <xf numFmtId="4" fontId="52" fillId="38" borderId="14" xfId="0" applyNumberFormat="1" applyFont="1" applyFill="1" applyBorder="1" applyAlignment="1">
      <alignment/>
    </xf>
    <xf numFmtId="4" fontId="52" fillId="38" borderId="12" xfId="0" applyNumberFormat="1" applyFont="1" applyFill="1" applyBorder="1" applyAlignment="1">
      <alignment/>
    </xf>
    <xf numFmtId="4" fontId="52" fillId="38" borderId="26" xfId="0" applyNumberFormat="1" applyFont="1" applyFill="1" applyBorder="1" applyAlignment="1">
      <alignment/>
    </xf>
    <xf numFmtId="4" fontId="52" fillId="38" borderId="0" xfId="0" applyNumberFormat="1" applyFont="1" applyFill="1" applyBorder="1" applyAlignment="1">
      <alignment/>
    </xf>
    <xf numFmtId="4" fontId="53" fillId="35" borderId="64" xfId="0" applyNumberFormat="1" applyFont="1" applyFill="1" applyBorder="1" applyAlignment="1">
      <alignment vertical="center"/>
    </xf>
    <xf numFmtId="0" fontId="13" fillId="37" borderId="0" xfId="0" applyFont="1" applyFill="1" applyBorder="1" applyAlignment="1">
      <alignment horizontal="center" vertical="center"/>
    </xf>
    <xf numFmtId="0" fontId="2" fillId="37" borderId="0" xfId="0" applyFont="1" applyFill="1" applyAlignment="1">
      <alignment horizontal="center"/>
    </xf>
    <xf numFmtId="0" fontId="2" fillId="37" borderId="0" xfId="0" applyFont="1" applyFill="1" applyBorder="1" applyAlignment="1">
      <alignment horizontal="center" vertical="center"/>
    </xf>
    <xf numFmtId="0" fontId="2" fillId="37" borderId="21" xfId="0" applyFont="1" applyFill="1" applyBorder="1" applyAlignment="1">
      <alignment horizontal="center" vertical="center"/>
    </xf>
    <xf numFmtId="0" fontId="0" fillId="37" borderId="60" xfId="0" applyFill="1" applyBorder="1" applyAlignment="1">
      <alignment horizontal="center" vertical="center"/>
    </xf>
    <xf numFmtId="0" fontId="0" fillId="37" borderId="6" xfId="0" applyFill="1" applyBorder="1" applyAlignment="1">
      <alignment horizontal="center" vertical="center"/>
    </xf>
    <xf numFmtId="0" fontId="0" fillId="37" borderId="25" xfId="0" applyFill="1" applyBorder="1" applyAlignment="1">
      <alignment horizontal="center" vertical="center"/>
    </xf>
    <xf numFmtId="0" fontId="0" fillId="37" borderId="0" xfId="0" applyFill="1" applyBorder="1" applyAlignment="1">
      <alignment horizontal="right" vertical="center"/>
    </xf>
    <xf numFmtId="2" fontId="0" fillId="37" borderId="20" xfId="0" applyNumberFormat="1" applyFill="1" applyBorder="1" applyAlignment="1" applyProtection="1">
      <alignment horizontal="left" vertical="center" wrapText="1"/>
      <protection/>
    </xf>
    <xf numFmtId="2" fontId="0" fillId="37" borderId="20" xfId="0" applyNumberFormat="1" applyFill="1" applyBorder="1" applyAlignment="1" applyProtection="1">
      <alignment horizontal="left" vertical="center"/>
      <protection/>
    </xf>
    <xf numFmtId="0" fontId="0" fillId="37" borderId="20" xfId="0" applyFill="1" applyBorder="1" applyAlignment="1">
      <alignment horizontal="left" vertical="center"/>
    </xf>
    <xf numFmtId="0" fontId="0" fillId="0" borderId="0" xfId="0" applyFill="1" applyBorder="1" applyAlignment="1">
      <alignment horizontal="center"/>
    </xf>
    <xf numFmtId="0" fontId="52" fillId="0" borderId="62" xfId="0" applyFont="1" applyFill="1" applyBorder="1" applyAlignment="1">
      <alignment/>
    </xf>
    <xf numFmtId="166" fontId="0" fillId="0" borderId="12" xfId="0" applyNumberFormat="1" applyFont="1" applyFill="1" applyBorder="1" applyAlignment="1" applyProtection="1">
      <alignment horizontal="center" vertical="center"/>
      <protection/>
    </xf>
    <xf numFmtId="164" fontId="58" fillId="45" borderId="0" xfId="0" applyNumberFormat="1" applyFont="1" applyFill="1" applyBorder="1" applyAlignment="1">
      <alignment horizontal="right"/>
    </xf>
    <xf numFmtId="164" fontId="58" fillId="45" borderId="12" xfId="0" applyNumberFormat="1" applyFont="1" applyFill="1" applyBorder="1" applyAlignment="1">
      <alignment horizontal="right"/>
    </xf>
    <xf numFmtId="164" fontId="58" fillId="45" borderId="74" xfId="0" applyNumberFormat="1" applyFont="1" applyFill="1" applyBorder="1" applyAlignment="1">
      <alignment/>
    </xf>
    <xf numFmtId="164" fontId="58" fillId="45" borderId="12" xfId="0" applyNumberFormat="1" applyFont="1" applyFill="1" applyBorder="1" applyAlignment="1">
      <alignment/>
    </xf>
    <xf numFmtId="164" fontId="0" fillId="45" borderId="13" xfId="0" applyNumberFormat="1" applyFill="1" applyBorder="1" applyAlignment="1">
      <alignment horizontal="right"/>
    </xf>
    <xf numFmtId="164" fontId="0" fillId="45" borderId="59" xfId="0" applyNumberFormat="1" applyFill="1" applyBorder="1" applyAlignment="1">
      <alignment horizontal="right"/>
    </xf>
    <xf numFmtId="164" fontId="0" fillId="45" borderId="14" xfId="0" applyNumberFormat="1" applyFill="1" applyBorder="1" applyAlignment="1">
      <alignment horizontal="right"/>
    </xf>
    <xf numFmtId="0" fontId="0" fillId="45" borderId="75" xfId="0" applyFill="1" applyBorder="1" applyAlignment="1">
      <alignment horizontal="right"/>
    </xf>
    <xf numFmtId="4" fontId="52" fillId="40" borderId="26" xfId="0" applyNumberFormat="1" applyFont="1" applyFill="1" applyBorder="1" applyAlignment="1" applyProtection="1">
      <alignment/>
      <protection locked="0"/>
    </xf>
    <xf numFmtId="0" fontId="57" fillId="45" borderId="26" xfId="0" applyFont="1" applyFill="1" applyBorder="1" applyAlignment="1" applyProtection="1">
      <alignment/>
      <protection locked="0"/>
    </xf>
    <xf numFmtId="0" fontId="52" fillId="0" borderId="26" xfId="0" applyFont="1" applyFill="1" applyBorder="1" applyAlignment="1" applyProtection="1">
      <alignment/>
      <protection locked="0"/>
    </xf>
    <xf numFmtId="167" fontId="52" fillId="45" borderId="0" xfId="0" applyNumberFormat="1" applyFont="1" applyFill="1" applyBorder="1" applyAlignment="1" applyProtection="1">
      <alignment/>
      <protection locked="0"/>
    </xf>
    <xf numFmtId="0" fontId="52" fillId="40" borderId="26" xfId="0" applyFont="1" applyFill="1" applyBorder="1" applyAlignment="1" applyProtection="1">
      <alignment wrapText="1"/>
      <protection locked="0"/>
    </xf>
    <xf numFmtId="4" fontId="52" fillId="38" borderId="26" xfId="0" applyNumberFormat="1" applyFont="1" applyFill="1" applyBorder="1" applyAlignment="1">
      <alignment/>
    </xf>
    <xf numFmtId="0" fontId="58" fillId="45" borderId="26" xfId="0" applyFont="1" applyFill="1" applyBorder="1" applyAlignment="1">
      <alignment/>
    </xf>
    <xf numFmtId="0" fontId="52" fillId="40" borderId="0" xfId="0" applyFont="1" applyFill="1" applyBorder="1" applyAlignment="1" applyProtection="1">
      <alignment wrapText="1"/>
      <protection locked="0"/>
    </xf>
    <xf numFmtId="0" fontId="58" fillId="45" borderId="39" xfId="0" applyNumberFormat="1" applyFont="1" applyFill="1" applyBorder="1" applyAlignment="1">
      <alignment/>
    </xf>
    <xf numFmtId="0" fontId="58" fillId="45" borderId="39" xfId="0" applyFont="1" applyFill="1" applyBorder="1" applyAlignment="1">
      <alignment/>
    </xf>
    <xf numFmtId="0" fontId="52" fillId="40" borderId="76" xfId="0" applyFont="1" applyFill="1" applyBorder="1" applyAlignment="1" applyProtection="1">
      <alignment/>
      <protection locked="0"/>
    </xf>
    <xf numFmtId="0" fontId="52" fillId="39" borderId="76" xfId="0" applyFont="1" applyFill="1" applyBorder="1" applyAlignment="1" applyProtection="1">
      <alignment wrapText="1"/>
      <protection locked="0"/>
    </xf>
    <xf numFmtId="0" fontId="52" fillId="40" borderId="26" xfId="0" applyFont="1" applyFill="1" applyBorder="1" applyAlignment="1" applyProtection="1">
      <alignment/>
      <protection locked="0"/>
    </xf>
    <xf numFmtId="0" fontId="52" fillId="39" borderId="26" xfId="0" applyFont="1" applyFill="1" applyBorder="1" applyAlignment="1" applyProtection="1">
      <alignment wrapText="1"/>
      <protection locked="0"/>
    </xf>
    <xf numFmtId="0" fontId="52" fillId="40" borderId="74" xfId="0" applyFont="1" applyFill="1" applyBorder="1" applyAlignment="1" applyProtection="1">
      <alignment/>
      <protection locked="0"/>
    </xf>
    <xf numFmtId="0" fontId="52" fillId="39" borderId="74" xfId="0" applyFont="1" applyFill="1" applyBorder="1" applyAlignment="1" applyProtection="1">
      <alignment wrapText="1"/>
      <protection locked="0"/>
    </xf>
    <xf numFmtId="4" fontId="2" fillId="0" borderId="12" xfId="0" applyNumberFormat="1" applyFont="1" applyBorder="1" applyAlignment="1">
      <alignment horizontal="center" vertical="top" wrapText="1"/>
    </xf>
    <xf numFmtId="0" fontId="30" fillId="0" borderId="0" xfId="0" applyFont="1" applyBorder="1" applyAlignment="1">
      <alignment/>
    </xf>
    <xf numFmtId="1" fontId="0" fillId="0" borderId="12" xfId="0" applyNumberFormat="1" applyFill="1" applyBorder="1" applyAlignment="1">
      <alignment horizontal="center" vertical="center"/>
    </xf>
    <xf numFmtId="1" fontId="0" fillId="36" borderId="12" xfId="0" applyNumberFormat="1" applyFont="1" applyFill="1" applyBorder="1" applyAlignment="1">
      <alignment horizontal="center" vertical="center"/>
    </xf>
    <xf numFmtId="1" fontId="0" fillId="36" borderId="15" xfId="0" applyNumberFormat="1" applyFont="1" applyFill="1" applyBorder="1" applyAlignment="1">
      <alignment horizontal="center" vertical="center"/>
    </xf>
    <xf numFmtId="0" fontId="12" fillId="36" borderId="13" xfId="0" applyFont="1" applyFill="1" applyBorder="1" applyAlignment="1">
      <alignment horizontal="center" wrapText="1"/>
    </xf>
    <xf numFmtId="164" fontId="58" fillId="45" borderId="59" xfId="0" applyNumberFormat="1" applyFont="1" applyFill="1" applyBorder="1" applyAlignment="1">
      <alignment/>
    </xf>
    <xf numFmtId="164" fontId="0" fillId="45" borderId="74" xfId="0" applyNumberFormat="1" applyFill="1" applyBorder="1" applyAlignment="1">
      <alignment horizontal="right"/>
    </xf>
    <xf numFmtId="164" fontId="0" fillId="45" borderId="26" xfId="0" applyNumberFormat="1" applyFill="1" applyBorder="1" applyAlignment="1">
      <alignment horizontal="right"/>
    </xf>
    <xf numFmtId="0" fontId="58" fillId="45" borderId="59" xfId="0" applyFont="1" applyFill="1" applyBorder="1" applyAlignment="1">
      <alignment/>
    </xf>
    <xf numFmtId="164" fontId="58" fillId="45" borderId="13" xfId="0" applyNumberFormat="1" applyFont="1" applyFill="1" applyBorder="1" applyAlignment="1">
      <alignment horizontal="right"/>
    </xf>
    <xf numFmtId="1" fontId="54" fillId="35" borderId="64" xfId="0" applyNumberFormat="1" applyFont="1" applyFill="1" applyBorder="1" applyAlignment="1">
      <alignment vertical="center"/>
    </xf>
    <xf numFmtId="4" fontId="53" fillId="35" borderId="64" xfId="0" applyNumberFormat="1" applyFont="1" applyFill="1" applyBorder="1" applyAlignment="1">
      <alignment vertical="center"/>
    </xf>
    <xf numFmtId="4" fontId="54" fillId="35" borderId="68" xfId="0" applyNumberFormat="1" applyFont="1" applyFill="1" applyBorder="1" applyAlignment="1">
      <alignment vertical="center"/>
    </xf>
    <xf numFmtId="167" fontId="54" fillId="35" borderId="68" xfId="0" applyNumberFormat="1" applyFont="1" applyFill="1" applyBorder="1" applyAlignment="1">
      <alignment vertical="center"/>
    </xf>
    <xf numFmtId="4" fontId="53" fillId="35" borderId="68" xfId="0" applyNumberFormat="1" applyFont="1" applyFill="1" applyBorder="1" applyAlignment="1">
      <alignment vertical="center"/>
    </xf>
    <xf numFmtId="1" fontId="54" fillId="35" borderId="0" xfId="0" applyNumberFormat="1" applyFont="1" applyFill="1" applyBorder="1" applyAlignment="1">
      <alignment vertical="center"/>
    </xf>
    <xf numFmtId="4" fontId="53" fillId="35" borderId="0" xfId="0" applyNumberFormat="1" applyFont="1" applyFill="1" applyBorder="1" applyAlignment="1">
      <alignment vertical="center"/>
    </xf>
    <xf numFmtId="166" fontId="58" fillId="37" borderId="63" xfId="0" applyNumberFormat="1" applyFont="1" applyFill="1" applyBorder="1" applyAlignment="1">
      <alignment/>
    </xf>
    <xf numFmtId="166" fontId="0" fillId="45" borderId="59" xfId="0" applyNumberFormat="1" applyFill="1" applyBorder="1" applyAlignment="1">
      <alignment/>
    </xf>
    <xf numFmtId="166" fontId="0" fillId="45" borderId="12" xfId="0" applyNumberFormat="1" applyFill="1" applyBorder="1" applyAlignment="1">
      <alignment/>
    </xf>
    <xf numFmtId="166" fontId="58" fillId="45" borderId="6" xfId="0" applyNumberFormat="1" applyFont="1" applyFill="1" applyBorder="1" applyAlignment="1">
      <alignment/>
    </xf>
    <xf numFmtId="166" fontId="58" fillId="45" borderId="12" xfId="0" applyNumberFormat="1" applyFont="1" applyFill="1" applyBorder="1" applyAlignment="1">
      <alignment/>
    </xf>
    <xf numFmtId="2" fontId="58" fillId="45" borderId="12" xfId="0" applyNumberFormat="1" applyFont="1" applyFill="1" applyBorder="1" applyAlignment="1">
      <alignment/>
    </xf>
    <xf numFmtId="0" fontId="0" fillId="37" borderId="12" xfId="0" applyFill="1" applyBorder="1" applyAlignment="1">
      <alignment horizontal="center" vertical="center"/>
    </xf>
    <xf numFmtId="2" fontId="0" fillId="37" borderId="12" xfId="0" applyNumberFormat="1" applyFill="1" applyBorder="1" applyAlignment="1">
      <alignment horizontal="center" vertical="center"/>
    </xf>
    <xf numFmtId="0" fontId="31" fillId="0" borderId="0" xfId="0" applyFont="1" applyFill="1" applyBorder="1" applyAlignment="1">
      <alignment horizontal="left"/>
    </xf>
    <xf numFmtId="2" fontId="2" fillId="0" borderId="0" xfId="0" applyNumberFormat="1" applyFont="1" applyFill="1" applyAlignment="1">
      <alignment horizontal="center" vertical="center"/>
    </xf>
    <xf numFmtId="4" fontId="0" fillId="0" borderId="67" xfId="0" applyNumberFormat="1" applyFill="1" applyBorder="1" applyAlignment="1">
      <alignment horizontal="center" vertical="center" wrapText="1"/>
    </xf>
    <xf numFmtId="167" fontId="0" fillId="37" borderId="12" xfId="0" applyNumberFormat="1" applyFont="1" applyFill="1" applyBorder="1" applyAlignment="1">
      <alignment horizontal="center" vertical="center" wrapText="1"/>
    </xf>
    <xf numFmtId="181" fontId="0" fillId="40" borderId="12" xfId="0" applyNumberFormat="1" applyFill="1" applyBorder="1" applyAlignment="1" applyProtection="1">
      <alignment horizontal="center" vertical="center" wrapText="1"/>
      <protection locked="0"/>
    </xf>
    <xf numFmtId="181" fontId="0" fillId="37" borderId="12" xfId="0" applyNumberFormat="1" applyFill="1" applyBorder="1" applyAlignment="1">
      <alignment horizontal="center" vertical="center" wrapText="1"/>
    </xf>
    <xf numFmtId="181" fontId="0" fillId="38" borderId="12" xfId="0" applyNumberFormat="1" applyFont="1" applyFill="1" applyBorder="1" applyAlignment="1">
      <alignment horizontal="center" vertical="center" wrapText="1"/>
    </xf>
    <xf numFmtId="167" fontId="0" fillId="37" borderId="12" xfId="0" applyNumberFormat="1" applyFill="1" applyBorder="1" applyAlignment="1">
      <alignment horizontal="center" vertical="center" wrapText="1"/>
    </xf>
    <xf numFmtId="165" fontId="12" fillId="0" borderId="0" xfId="0" applyNumberFormat="1" applyFont="1" applyFill="1" applyBorder="1" applyAlignment="1">
      <alignment/>
    </xf>
    <xf numFmtId="181" fontId="0" fillId="38" borderId="12" xfId="0" applyNumberFormat="1" applyFill="1" applyBorder="1" applyAlignment="1">
      <alignment horizontal="center" vertical="center" wrapText="1"/>
    </xf>
    <xf numFmtId="4" fontId="62" fillId="38" borderId="16" xfId="0" applyNumberFormat="1" applyFont="1" applyFill="1" applyBorder="1" applyAlignment="1">
      <alignment horizontal="center" vertical="center"/>
    </xf>
    <xf numFmtId="0" fontId="4" fillId="37" borderId="0" xfId="0" applyFont="1" applyFill="1" applyBorder="1" applyAlignment="1">
      <alignment horizontal="left"/>
    </xf>
    <xf numFmtId="4" fontId="12" fillId="37" borderId="0" xfId="0" applyNumberFormat="1" applyFont="1" applyFill="1" applyAlignment="1">
      <alignment/>
    </xf>
    <xf numFmtId="0" fontId="18" fillId="37" borderId="24" xfId="0" applyFont="1" applyFill="1" applyBorder="1" applyAlignment="1">
      <alignment/>
    </xf>
    <xf numFmtId="0" fontId="27" fillId="37" borderId="24" xfId="0" applyFont="1" applyFill="1" applyBorder="1" applyAlignment="1">
      <alignment horizontal="right"/>
    </xf>
    <xf numFmtId="0" fontId="2" fillId="37" borderId="20" xfId="0" applyFont="1" applyFill="1" applyBorder="1" applyAlignment="1">
      <alignment horizontal="center"/>
    </xf>
    <xf numFmtId="4" fontId="2" fillId="38" borderId="71" xfId="0" applyNumberFormat="1" applyFont="1" applyFill="1" applyBorder="1" applyAlignment="1">
      <alignment horizontal="center" vertical="center"/>
    </xf>
    <xf numFmtId="4" fontId="62" fillId="38" borderId="12" xfId="0" applyNumberFormat="1" applyFont="1" applyFill="1" applyBorder="1" applyAlignment="1">
      <alignment horizontal="center" vertical="center"/>
    </xf>
    <xf numFmtId="0" fontId="45" fillId="0" borderId="11" xfId="0" applyFont="1" applyFill="1" applyBorder="1" applyAlignment="1" applyProtection="1">
      <alignment/>
      <protection/>
    </xf>
    <xf numFmtId="164" fontId="45" fillId="0" borderId="0" xfId="0" applyNumberFormat="1" applyFont="1" applyFill="1" applyBorder="1" applyAlignment="1" applyProtection="1">
      <alignment/>
      <protection/>
    </xf>
    <xf numFmtId="0" fontId="45" fillId="0" borderId="19" xfId="0" applyFont="1" applyFill="1" applyBorder="1" applyAlignment="1">
      <alignment/>
    </xf>
    <xf numFmtId="0" fontId="0" fillId="0" borderId="0" xfId="0" applyAlignment="1" applyProtection="1">
      <alignment/>
      <protection/>
    </xf>
    <xf numFmtId="0" fontId="0" fillId="0" borderId="0" xfId="0" applyAlignment="1" applyProtection="1">
      <alignment vertical="center"/>
      <protection/>
    </xf>
    <xf numFmtId="0" fontId="63"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37" borderId="17" xfId="0" applyFill="1" applyBorder="1" applyAlignment="1" applyProtection="1">
      <alignment/>
      <protection/>
    </xf>
    <xf numFmtId="0" fontId="25" fillId="37" borderId="61" xfId="0" applyFont="1" applyFill="1" applyBorder="1" applyAlignment="1" applyProtection="1">
      <alignment vertical="center"/>
      <protection/>
    </xf>
    <xf numFmtId="0" fontId="25" fillId="37" borderId="11" xfId="0" applyFont="1" applyFill="1" applyBorder="1" applyAlignment="1" applyProtection="1">
      <alignment vertical="center"/>
      <protection/>
    </xf>
    <xf numFmtId="0" fontId="0" fillId="37" borderId="11" xfId="0" applyFill="1" applyBorder="1" applyAlignment="1" applyProtection="1">
      <alignment vertical="center"/>
      <protection/>
    </xf>
    <xf numFmtId="0" fontId="0" fillId="37" borderId="11" xfId="0" applyFill="1" applyBorder="1" applyAlignment="1" applyProtection="1">
      <alignment horizont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protection/>
    </xf>
    <xf numFmtId="0" fontId="0" fillId="37" borderId="19" xfId="0" applyFill="1" applyBorder="1" applyAlignment="1" applyProtection="1">
      <alignment/>
      <protection/>
    </xf>
    <xf numFmtId="0" fontId="1" fillId="35" borderId="12" xfId="0" applyFont="1" applyFill="1" applyBorder="1" applyAlignment="1" applyProtection="1">
      <alignment vertical="center"/>
      <protection/>
    </xf>
    <xf numFmtId="0" fontId="0" fillId="37" borderId="20" xfId="0" applyFill="1" applyBorder="1" applyAlignment="1" applyProtection="1">
      <alignment/>
      <protection/>
    </xf>
    <xf numFmtId="0" fontId="1" fillId="37" borderId="0" xfId="0" applyFont="1" applyFill="1" applyBorder="1" applyAlignment="1" applyProtection="1">
      <alignment vertical="center"/>
      <protection/>
    </xf>
    <xf numFmtId="0" fontId="1" fillId="37" borderId="0" xfId="0" applyFont="1" applyFill="1" applyBorder="1" applyAlignment="1" applyProtection="1">
      <alignment horizontal="center" vertical="center"/>
      <protection/>
    </xf>
    <xf numFmtId="0" fontId="1" fillId="35" borderId="41" xfId="0" applyFont="1" applyFill="1" applyBorder="1" applyAlignment="1" applyProtection="1">
      <alignment vertical="center" wrapText="1"/>
      <protection/>
    </xf>
    <xf numFmtId="0" fontId="1" fillId="37" borderId="0" xfId="0" applyFont="1" applyFill="1" applyBorder="1" applyAlignment="1" applyProtection="1">
      <alignment vertical="center" wrapText="1"/>
      <protection/>
    </xf>
    <xf numFmtId="0" fontId="0" fillId="37" borderId="0" xfId="0" applyFill="1" applyBorder="1" applyAlignment="1" applyProtection="1">
      <alignment horizontal="center" vertical="center"/>
      <protection/>
    </xf>
    <xf numFmtId="0" fontId="1" fillId="37" borderId="11" xfId="0" applyFont="1" applyFill="1" applyBorder="1" applyAlignment="1" applyProtection="1">
      <alignment vertical="center"/>
      <protection/>
    </xf>
    <xf numFmtId="0" fontId="6" fillId="37" borderId="11" xfId="0" applyFont="1" applyFill="1" applyBorder="1" applyAlignment="1" applyProtection="1">
      <alignment horizontal="center" wrapText="1"/>
      <protection/>
    </xf>
    <xf numFmtId="2" fontId="6" fillId="37" borderId="11" xfId="0" applyNumberFormat="1" applyFont="1" applyFill="1" applyBorder="1" applyAlignment="1" applyProtection="1">
      <alignment horizontal="center" wrapText="1"/>
      <protection/>
    </xf>
    <xf numFmtId="4" fontId="0" fillId="38" borderId="12" xfId="0" applyNumberFormat="1" applyFill="1" applyBorder="1" applyAlignment="1" applyProtection="1">
      <alignment horizontal="center" vertical="center"/>
      <protection/>
    </xf>
    <xf numFmtId="168" fontId="0" fillId="38" borderId="12" xfId="0" applyNumberFormat="1" applyFill="1" applyBorder="1" applyAlignment="1" applyProtection="1">
      <alignment horizontal="center" vertical="center"/>
      <protection/>
    </xf>
    <xf numFmtId="4" fontId="0" fillId="38" borderId="12" xfId="0" applyNumberFormat="1" applyFill="1" applyBorder="1" applyAlignment="1" applyProtection="1">
      <alignment horizontal="center" vertical="center" wrapText="1"/>
      <protection/>
    </xf>
    <xf numFmtId="4" fontId="0" fillId="37" borderId="0" xfId="0" applyNumberFormat="1" applyFill="1" applyBorder="1" applyAlignment="1" applyProtection="1">
      <alignment horizontal="center" vertical="center"/>
      <protection/>
    </xf>
    <xf numFmtId="0" fontId="1" fillId="38" borderId="12" xfId="0" applyFont="1" applyFill="1" applyBorder="1" applyAlignment="1" applyProtection="1">
      <alignment vertical="center" wrapText="1"/>
      <protection/>
    </xf>
    <xf numFmtId="0" fontId="1" fillId="35" borderId="12" xfId="0" applyFont="1" applyFill="1" applyBorder="1" applyAlignment="1" applyProtection="1">
      <alignment vertical="center" wrapText="1"/>
      <protection/>
    </xf>
    <xf numFmtId="0" fontId="0" fillId="37" borderId="23" xfId="0" applyFill="1" applyBorder="1" applyAlignment="1" applyProtection="1">
      <alignment/>
      <protection/>
    </xf>
    <xf numFmtId="0" fontId="1" fillId="37" borderId="24" xfId="0" applyFont="1" applyFill="1" applyBorder="1" applyAlignment="1" applyProtection="1">
      <alignment vertical="center" wrapText="1"/>
      <protection/>
    </xf>
    <xf numFmtId="2" fontId="0" fillId="37" borderId="24" xfId="0" applyNumberFormat="1" applyFill="1" applyBorder="1" applyAlignment="1" applyProtection="1">
      <alignment horizontal="center" vertical="center"/>
      <protection/>
    </xf>
    <xf numFmtId="0" fontId="0" fillId="37" borderId="24" xfId="0" applyFill="1" applyBorder="1" applyAlignment="1" applyProtection="1">
      <alignment horizontal="center" vertical="center"/>
      <protection/>
    </xf>
    <xf numFmtId="0" fontId="0" fillId="37" borderId="22" xfId="0" applyFill="1" applyBorder="1" applyAlignment="1" applyProtection="1">
      <alignment/>
      <protection/>
    </xf>
    <xf numFmtId="0" fontId="0" fillId="37" borderId="61" xfId="0" applyFill="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0" fillId="47" borderId="17" xfId="0" applyFill="1" applyBorder="1" applyAlignment="1" applyProtection="1">
      <alignment/>
      <protection/>
    </xf>
    <xf numFmtId="0" fontId="25" fillId="47" borderId="11" xfId="0" applyFont="1" applyFill="1" applyBorder="1" applyAlignment="1" applyProtection="1">
      <alignment vertical="center"/>
      <protection/>
    </xf>
    <xf numFmtId="0" fontId="6" fillId="47" borderId="11" xfId="0" applyFont="1" applyFill="1" applyBorder="1" applyAlignment="1" applyProtection="1">
      <alignment horizontal="center" wrapText="1"/>
      <protection/>
    </xf>
    <xf numFmtId="2" fontId="6" fillId="47" borderId="11" xfId="0" applyNumberFormat="1" applyFont="1" applyFill="1" applyBorder="1" applyAlignment="1" applyProtection="1">
      <alignment horizontal="center" wrapText="1"/>
      <protection/>
    </xf>
    <xf numFmtId="0" fontId="0" fillId="47" borderId="18" xfId="0" applyFill="1" applyBorder="1" applyAlignment="1" applyProtection="1">
      <alignment/>
      <protection/>
    </xf>
    <xf numFmtId="0" fontId="0" fillId="47" borderId="19" xfId="0" applyFill="1" applyBorder="1" applyAlignment="1" applyProtection="1">
      <alignment/>
      <protection/>
    </xf>
    <xf numFmtId="2" fontId="0" fillId="47" borderId="0" xfId="0" applyNumberFormat="1" applyFill="1" applyBorder="1" applyAlignment="1" applyProtection="1">
      <alignment horizontal="center" vertical="center"/>
      <protection/>
    </xf>
    <xf numFmtId="4" fontId="0" fillId="47" borderId="0" xfId="0" applyNumberFormat="1" applyFill="1" applyBorder="1" applyAlignment="1" applyProtection="1">
      <alignment horizontal="center" vertical="center"/>
      <protection/>
    </xf>
    <xf numFmtId="0" fontId="0" fillId="47" borderId="20" xfId="0" applyFill="1" applyBorder="1" applyAlignment="1" applyProtection="1">
      <alignment/>
      <protection/>
    </xf>
    <xf numFmtId="0" fontId="0" fillId="47" borderId="23" xfId="0" applyFill="1" applyBorder="1" applyAlignment="1" applyProtection="1">
      <alignment/>
      <protection/>
    </xf>
    <xf numFmtId="0" fontId="1" fillId="47" borderId="24" xfId="0" applyFont="1" applyFill="1" applyBorder="1" applyAlignment="1" applyProtection="1">
      <alignment vertical="center"/>
      <protection/>
    </xf>
    <xf numFmtId="0" fontId="1" fillId="47" borderId="24" xfId="0" applyFont="1" applyFill="1" applyBorder="1" applyAlignment="1" applyProtection="1">
      <alignment horizontal="center" vertical="center"/>
      <protection/>
    </xf>
    <xf numFmtId="0" fontId="0" fillId="47" borderId="24" xfId="0" applyFill="1" applyBorder="1" applyAlignment="1" applyProtection="1">
      <alignment horizontal="center" vertical="center"/>
      <protection/>
    </xf>
    <xf numFmtId="0" fontId="0" fillId="47" borderId="22" xfId="0" applyFill="1" applyBorder="1" applyAlignment="1" applyProtection="1">
      <alignment/>
      <protection/>
    </xf>
    <xf numFmtId="4" fontId="0" fillId="37" borderId="24" xfId="0" applyNumberFormat="1" applyFill="1" applyBorder="1" applyAlignment="1" applyProtection="1">
      <alignment horizontal="center" vertical="center"/>
      <protection/>
    </xf>
    <xf numFmtId="167" fontId="0" fillId="40" borderId="12" xfId="0" applyNumberFormat="1" applyFill="1" applyBorder="1" applyAlignment="1" applyProtection="1">
      <alignment horizontal="center" vertical="center" wrapText="1"/>
      <protection locked="0"/>
    </xf>
    <xf numFmtId="167" fontId="0" fillId="40" borderId="70" xfId="0" applyNumberFormat="1" applyFill="1" applyBorder="1" applyAlignment="1" applyProtection="1">
      <alignment horizontal="center" vertical="center" wrapText="1"/>
      <protection locked="0"/>
    </xf>
    <xf numFmtId="167" fontId="0" fillId="40" borderId="16" xfId="0" applyNumberFormat="1" applyFill="1" applyBorder="1" applyAlignment="1" applyProtection="1">
      <alignment horizontal="center" vertical="center" wrapText="1"/>
      <protection locked="0"/>
    </xf>
    <xf numFmtId="0" fontId="6" fillId="37" borderId="0" xfId="0" applyFont="1" applyFill="1" applyBorder="1" applyAlignment="1">
      <alignment horizontal="center" vertical="center"/>
    </xf>
    <xf numFmtId="181" fontId="2" fillId="38" borderId="12" xfId="0" applyNumberFormat="1" applyFont="1" applyFill="1" applyBorder="1" applyAlignment="1">
      <alignment horizontal="center" vertical="center"/>
    </xf>
    <xf numFmtId="0" fontId="2" fillId="37" borderId="0" xfId="0" applyFont="1" applyFill="1" applyBorder="1" applyAlignment="1">
      <alignment/>
    </xf>
    <xf numFmtId="2" fontId="0" fillId="0" borderId="19" xfId="0" applyNumberFormat="1" applyFont="1" applyFill="1" applyBorder="1" applyAlignment="1">
      <alignment horizontal="center" vertical="center" wrapText="1"/>
    </xf>
    <xf numFmtId="181" fontId="0" fillId="40" borderId="12" xfId="0" applyNumberFormat="1" applyFill="1" applyBorder="1" applyAlignment="1" applyProtection="1">
      <alignment horizontal="center" vertical="center"/>
      <protection locked="0"/>
    </xf>
    <xf numFmtId="0" fontId="6" fillId="37" borderId="0" xfId="0" applyFont="1" applyFill="1" applyBorder="1" applyAlignment="1">
      <alignment wrapText="1"/>
    </xf>
    <xf numFmtId="0" fontId="6" fillId="37" borderId="0" xfId="0" applyFont="1" applyFill="1" applyBorder="1" applyAlignment="1">
      <alignment/>
    </xf>
    <xf numFmtId="0" fontId="0" fillId="0" borderId="0" xfId="0" applyAlignment="1">
      <alignment/>
    </xf>
    <xf numFmtId="0" fontId="0" fillId="0" borderId="0" xfId="0" applyAlignment="1">
      <alignment wrapText="1"/>
    </xf>
    <xf numFmtId="0" fontId="6" fillId="37" borderId="0" xfId="0" applyFont="1" applyFill="1" applyBorder="1" applyAlignment="1">
      <alignment vertical="top" wrapText="1"/>
    </xf>
    <xf numFmtId="0" fontId="0" fillId="0" borderId="0" xfId="0" applyAlignment="1">
      <alignment vertical="top" wrapText="1"/>
    </xf>
    <xf numFmtId="0" fontId="6" fillId="37" borderId="0" xfId="0" applyNumberFormat="1" applyFont="1" applyFill="1" applyBorder="1" applyAlignment="1">
      <alignment vertical="top" wrapText="1"/>
    </xf>
    <xf numFmtId="0" fontId="0" fillId="0" borderId="0" xfId="0" applyBorder="1" applyAlignment="1">
      <alignment vertical="top" wrapText="1"/>
    </xf>
    <xf numFmtId="0" fontId="32" fillId="37" borderId="17" xfId="0" applyFont="1" applyFill="1" applyBorder="1" applyAlignment="1">
      <alignment horizontal="center" vertical="center" wrapText="1"/>
    </xf>
    <xf numFmtId="0" fontId="33" fillId="0" borderId="11" xfId="0" applyFont="1" applyBorder="1" applyAlignment="1">
      <alignment/>
    </xf>
    <xf numFmtId="0" fontId="33" fillId="0" borderId="18" xfId="0" applyFont="1" applyBorder="1" applyAlignment="1">
      <alignment/>
    </xf>
    <xf numFmtId="0" fontId="66" fillId="37" borderId="0" xfId="0" applyFont="1" applyFill="1" applyBorder="1" applyAlignment="1">
      <alignment wrapText="1"/>
    </xf>
    <xf numFmtId="0" fontId="64" fillId="37" borderId="0" xfId="0" applyFont="1" applyFill="1" applyBorder="1" applyAlignment="1">
      <alignment wrapText="1"/>
    </xf>
    <xf numFmtId="0" fontId="64" fillId="0" borderId="0" xfId="0" applyFont="1" applyAlignment="1">
      <alignment/>
    </xf>
    <xf numFmtId="0" fontId="64" fillId="0" borderId="20" xfId="0" applyFont="1" applyBorder="1" applyAlignment="1">
      <alignment/>
    </xf>
    <xf numFmtId="0" fontId="1" fillId="37" borderId="0" xfId="0" applyFont="1" applyFill="1" applyBorder="1" applyAlignment="1">
      <alignment vertical="top" wrapText="1"/>
    </xf>
    <xf numFmtId="0" fontId="1" fillId="37" borderId="0" xfId="0" applyFont="1" applyFill="1" applyBorder="1" applyAlignment="1">
      <alignment horizontal="left" vertical="top" wrapText="1"/>
    </xf>
    <xf numFmtId="0" fontId="1" fillId="37" borderId="0" xfId="0" applyFont="1" applyFill="1" applyBorder="1" applyAlignment="1">
      <alignment wrapText="1"/>
    </xf>
    <xf numFmtId="0" fontId="0" fillId="37" borderId="0" xfId="0" applyFill="1" applyBorder="1" applyAlignment="1">
      <alignment/>
    </xf>
    <xf numFmtId="0" fontId="0" fillId="37" borderId="20" xfId="0" applyFill="1" applyBorder="1" applyAlignment="1">
      <alignment/>
    </xf>
    <xf numFmtId="0" fontId="0" fillId="37" borderId="0" xfId="0" applyFill="1" applyBorder="1" applyAlignment="1">
      <alignment horizontal="left" vertical="top" wrapText="1"/>
    </xf>
    <xf numFmtId="0" fontId="0" fillId="37" borderId="0" xfId="0" applyFill="1" applyBorder="1" applyAlignment="1">
      <alignment wrapText="1"/>
    </xf>
    <xf numFmtId="0" fontId="1" fillId="37" borderId="0" xfId="0" applyFont="1" applyFill="1" applyBorder="1" applyAlignment="1">
      <alignment horizontal="left" vertical="center" wrapText="1"/>
    </xf>
    <xf numFmtId="0" fontId="1" fillId="37" borderId="20" xfId="0" applyFont="1" applyFill="1" applyBorder="1" applyAlignment="1">
      <alignment horizontal="left" vertical="center" wrapText="1"/>
    </xf>
    <xf numFmtId="0" fontId="1" fillId="37" borderId="0" xfId="0" applyFont="1" applyFill="1" applyBorder="1" applyAlignment="1">
      <alignment horizontal="left" vertical="center"/>
    </xf>
    <xf numFmtId="0" fontId="1" fillId="37" borderId="20" xfId="0" applyFont="1" applyFill="1" applyBorder="1" applyAlignment="1">
      <alignment horizontal="left" vertical="center"/>
    </xf>
    <xf numFmtId="0" fontId="1" fillId="0" borderId="0" xfId="0" applyFont="1" applyAlignment="1">
      <alignment horizontal="left" vertical="center"/>
    </xf>
    <xf numFmtId="0" fontId="2" fillId="37" borderId="24" xfId="0" applyFont="1" applyFill="1" applyBorder="1" applyAlignment="1">
      <alignment vertical="top" wrapText="1"/>
    </xf>
    <xf numFmtId="0" fontId="2" fillId="0" borderId="24" xfId="0" applyFont="1" applyBorder="1" applyAlignment="1">
      <alignment vertical="top" wrapText="1"/>
    </xf>
    <xf numFmtId="2" fontId="0" fillId="40" borderId="15" xfId="0" applyNumberForma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 fillId="37" borderId="6" xfId="0" applyFont="1" applyFill="1" applyBorder="1" applyAlignment="1">
      <alignment wrapText="1"/>
    </xf>
    <xf numFmtId="0" fontId="6" fillId="0" borderId="0" xfId="0" applyFont="1" applyBorder="1" applyAlignment="1">
      <alignment horizontal="left" vertical="top" wrapText="1"/>
    </xf>
    <xf numFmtId="0" fontId="6" fillId="0" borderId="0" xfId="0" applyFont="1" applyAlignment="1">
      <alignment horizontal="left"/>
    </xf>
    <xf numFmtId="0" fontId="2" fillId="37" borderId="41" xfId="0" applyFont="1" applyFill="1" applyBorder="1" applyAlignment="1">
      <alignment wrapText="1"/>
    </xf>
    <xf numFmtId="0" fontId="0" fillId="0" borderId="41" xfId="0" applyBorder="1" applyAlignment="1">
      <alignment wrapText="1"/>
    </xf>
    <xf numFmtId="0" fontId="25" fillId="37" borderId="17" xfId="0" applyFont="1" applyFill="1" applyBorder="1" applyAlignment="1">
      <alignment wrapText="1"/>
    </xf>
    <xf numFmtId="0" fontId="25" fillId="0" borderId="11" xfId="0" applyFont="1" applyBorder="1" applyAlignment="1">
      <alignment wrapText="1"/>
    </xf>
    <xf numFmtId="0" fontId="2" fillId="0" borderId="15" xfId="0" applyNumberFormat="1" applyFont="1" applyFill="1" applyBorder="1" applyAlignment="1">
      <alignment horizontal="center" vertical="center"/>
    </xf>
    <xf numFmtId="0" fontId="0" fillId="0" borderId="16" xfId="0" applyBorder="1" applyAlignment="1">
      <alignment horizontal="center" vertical="center"/>
    </xf>
    <xf numFmtId="4" fontId="2" fillId="0" borderId="15" xfId="0" applyNumberFormat="1" applyFont="1" applyFill="1" applyBorder="1" applyAlignment="1">
      <alignment horizontal="center" vertical="center"/>
    </xf>
    <xf numFmtId="0" fontId="0" fillId="0" borderId="41" xfId="0" applyBorder="1" applyAlignment="1">
      <alignment horizontal="center" vertical="center"/>
    </xf>
    <xf numFmtId="0" fontId="0" fillId="37" borderId="0" xfId="0" applyFill="1" applyBorder="1" applyAlignment="1">
      <alignment horizontal="left" vertical="center" wrapText="1"/>
    </xf>
    <xf numFmtId="0" fontId="0" fillId="37" borderId="0" xfId="0" applyFill="1" applyAlignment="1">
      <alignment wrapText="1"/>
    </xf>
    <xf numFmtId="0" fontId="0" fillId="37" borderId="0" xfId="0" applyFill="1" applyAlignment="1">
      <alignment/>
    </xf>
    <xf numFmtId="0" fontId="2" fillId="37"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9" xfId="0" applyFill="1" applyBorder="1" applyAlignment="1">
      <alignment horizontal="right"/>
    </xf>
    <xf numFmtId="0" fontId="0" fillId="0" borderId="0" xfId="0" applyFill="1" applyBorder="1" applyAlignment="1">
      <alignment horizontal="right"/>
    </xf>
    <xf numFmtId="4" fontId="19" fillId="0" borderId="15"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6" fillId="0" borderId="0" xfId="0" applyFont="1" applyFill="1" applyAlignment="1">
      <alignment wrapText="1"/>
    </xf>
    <xf numFmtId="0" fontId="44"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xf>
    <xf numFmtId="0" fontId="0" fillId="0" borderId="0" xfId="0" applyFill="1" applyAlignment="1">
      <alignment/>
    </xf>
    <xf numFmtId="0" fontId="2" fillId="0" borderId="0" xfId="0" applyFont="1" applyFill="1" applyAlignment="1">
      <alignment wrapText="1"/>
    </xf>
    <xf numFmtId="0" fontId="51" fillId="36" borderId="13" xfId="0" applyFont="1" applyFill="1" applyBorder="1" applyAlignment="1">
      <alignment wrapText="1"/>
    </xf>
    <xf numFmtId="0" fontId="2" fillId="0" borderId="26" xfId="0" applyFont="1" applyBorder="1" applyAlignment="1">
      <alignment wrapText="1"/>
    </xf>
    <xf numFmtId="0" fontId="2" fillId="0" borderId="14" xfId="0" applyFont="1" applyBorder="1" applyAlignment="1">
      <alignment wrapText="1"/>
    </xf>
    <xf numFmtId="0" fontId="0" fillId="0" borderId="41" xfId="0" applyBorder="1" applyAlignment="1">
      <alignment/>
    </xf>
    <xf numFmtId="0" fontId="0" fillId="0" borderId="16" xfId="0" applyBorder="1" applyAlignment="1">
      <alignment/>
    </xf>
    <xf numFmtId="0" fontId="6" fillId="37" borderId="33" xfId="0" applyFont="1" applyFill="1" applyBorder="1" applyAlignment="1">
      <alignment horizontal="center"/>
    </xf>
    <xf numFmtId="0" fontId="0" fillId="0" borderId="33" xfId="0" applyFill="1" applyBorder="1" applyAlignment="1">
      <alignment horizontal="center"/>
    </xf>
    <xf numFmtId="0" fontId="51" fillId="36" borderId="15" xfId="0" applyFont="1" applyFill="1" applyBorder="1" applyAlignment="1">
      <alignment horizontal="center"/>
    </xf>
    <xf numFmtId="0" fontId="70" fillId="37" borderId="0" xfId="0" applyFont="1" applyFill="1" applyAlignment="1">
      <alignment wrapText="1"/>
    </xf>
    <xf numFmtId="0" fontId="0" fillId="0" borderId="20" xfId="0" applyBorder="1" applyAlignment="1">
      <alignment wrapText="1"/>
    </xf>
    <xf numFmtId="0" fontId="0" fillId="37" borderId="0" xfId="0" applyFill="1" applyAlignment="1">
      <alignment vertical="top"/>
    </xf>
    <xf numFmtId="0" fontId="0" fillId="0" borderId="0" xfId="0" applyAlignment="1">
      <alignment vertical="top"/>
    </xf>
    <xf numFmtId="0" fontId="6" fillId="37" borderId="0" xfId="0" applyFont="1" applyFill="1" applyBorder="1" applyAlignment="1">
      <alignment horizontal="center"/>
    </xf>
    <xf numFmtId="0" fontId="0" fillId="0" borderId="0" xfId="0" applyFill="1" applyBorder="1" applyAlignment="1">
      <alignment horizontal="center"/>
    </xf>
    <xf numFmtId="0" fontId="6" fillId="37" borderId="11" xfId="0" applyFont="1" applyFill="1" applyBorder="1" applyAlignment="1">
      <alignment horizontal="center"/>
    </xf>
    <xf numFmtId="0" fontId="0" fillId="0" borderId="11" xfId="0" applyFill="1" applyBorder="1" applyAlignment="1">
      <alignment horizontal="center"/>
    </xf>
    <xf numFmtId="0" fontId="6" fillId="37" borderId="18" xfId="0" applyFont="1" applyFill="1" applyBorder="1" applyAlignment="1">
      <alignment horizontal="center"/>
    </xf>
    <xf numFmtId="2" fontId="0" fillId="37" borderId="24" xfId="0" applyNumberFormat="1" applyFill="1" applyBorder="1" applyAlignment="1">
      <alignment horizontal="left" vertical="center" wrapText="1"/>
    </xf>
    <xf numFmtId="0" fontId="0" fillId="37" borderId="24" xfId="0" applyFill="1" applyBorder="1" applyAlignment="1">
      <alignment vertical="center" wrapText="1"/>
    </xf>
    <xf numFmtId="0" fontId="0" fillId="0" borderId="0" xfId="0" applyBorder="1" applyAlignment="1">
      <alignment/>
    </xf>
    <xf numFmtId="0" fontId="0" fillId="0" borderId="24" xfId="0" applyBorder="1" applyAlignment="1">
      <alignment/>
    </xf>
    <xf numFmtId="0" fontId="62" fillId="0" borderId="12" xfId="0" applyNumberFormat="1" applyFont="1" applyFill="1" applyBorder="1" applyAlignment="1">
      <alignment horizontal="right" vertical="center"/>
    </xf>
    <xf numFmtId="0" fontId="0" fillId="0" borderId="12" xfId="0" applyBorder="1" applyAlignment="1">
      <alignment/>
    </xf>
    <xf numFmtId="0" fontId="0" fillId="0" borderId="0" xfId="0" applyAlignment="1">
      <alignment horizontal="left" vertical="center" wrapText="1"/>
    </xf>
    <xf numFmtId="0" fontId="2" fillId="0" borderId="15" xfId="0" applyFont="1" applyBorder="1" applyAlignment="1">
      <alignment horizontal="center" vertical="center"/>
    </xf>
    <xf numFmtId="2" fontId="2" fillId="0" borderId="15" xfId="0" applyNumberFormat="1" applyFont="1" applyFill="1" applyBorder="1" applyAlignment="1">
      <alignment horizontal="center" vertical="center"/>
    </xf>
    <xf numFmtId="0" fontId="6" fillId="0" borderId="12" xfId="0" applyFont="1" applyFill="1" applyBorder="1" applyAlignment="1">
      <alignment/>
    </xf>
    <xf numFmtId="0" fontId="2" fillId="0" borderId="12" xfId="0" applyFont="1" applyFill="1" applyBorder="1" applyAlignment="1">
      <alignment/>
    </xf>
    <xf numFmtId="2" fontId="2" fillId="0" borderId="60" xfId="0" applyNumberFormat="1" applyFont="1" applyFill="1" applyBorder="1" applyAlignment="1">
      <alignment horizontal="center" vertical="center"/>
    </xf>
    <xf numFmtId="0" fontId="0" fillId="0" borderId="6" xfId="0" applyBorder="1" applyAlignment="1">
      <alignment/>
    </xf>
    <xf numFmtId="0" fontId="0" fillId="0" borderId="25" xfId="0" applyBorder="1" applyAlignment="1">
      <alignment/>
    </xf>
    <xf numFmtId="0" fontId="2" fillId="0" borderId="77" xfId="0" applyNumberFormat="1" applyFont="1" applyFill="1" applyBorder="1" applyAlignment="1">
      <alignment horizontal="right" vertical="center"/>
    </xf>
    <xf numFmtId="0" fontId="0" fillId="0" borderId="40" xfId="0" applyBorder="1" applyAlignment="1">
      <alignment/>
    </xf>
    <xf numFmtId="0" fontId="0" fillId="0" borderId="78" xfId="0" applyBorder="1" applyAlignment="1">
      <alignment/>
    </xf>
    <xf numFmtId="0" fontId="24" fillId="37" borderId="35" xfId="0" applyFont="1" applyFill="1" applyBorder="1" applyAlignment="1">
      <alignment vertical="top" wrapText="1"/>
    </xf>
    <xf numFmtId="0" fontId="26" fillId="0" borderId="35" xfId="0" applyFont="1" applyBorder="1" applyAlignment="1">
      <alignment vertical="top"/>
    </xf>
    <xf numFmtId="0" fontId="24" fillId="37" borderId="11" xfId="0" applyFont="1" applyFill="1" applyBorder="1" applyAlignment="1">
      <alignment horizontal="left" wrapText="1"/>
    </xf>
    <xf numFmtId="0" fontId="0" fillId="0" borderId="11" xfId="0" applyBorder="1" applyAlignment="1">
      <alignment/>
    </xf>
    <xf numFmtId="0" fontId="6" fillId="37" borderId="11" xfId="0" applyFont="1" applyFill="1" applyBorder="1" applyAlignment="1">
      <alignment wrapText="1"/>
    </xf>
    <xf numFmtId="0" fontId="2" fillId="0" borderId="12"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0" fillId="0" borderId="11" xfId="0" applyFill="1" applyBorder="1" applyAlignment="1">
      <alignment/>
    </xf>
    <xf numFmtId="0" fontId="2" fillId="0" borderId="15" xfId="0" applyNumberFormat="1" applyFont="1" applyFill="1" applyBorder="1" applyAlignment="1">
      <alignment horizontal="right" vertical="center"/>
    </xf>
    <xf numFmtId="4" fontId="2" fillId="0" borderId="67" xfId="0" applyNumberFormat="1" applyFont="1" applyFill="1" applyBorder="1" applyAlignment="1">
      <alignment horizontal="center" vertical="center" wrapText="1"/>
    </xf>
    <xf numFmtId="4" fontId="2" fillId="0" borderId="33" xfId="0" applyNumberFormat="1" applyFont="1" applyFill="1" applyBorder="1" applyAlignment="1">
      <alignment horizontal="center" vertical="center" wrapText="1"/>
    </xf>
    <xf numFmtId="4" fontId="2" fillId="0" borderId="7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xf>
    <xf numFmtId="0" fontId="0" fillId="0" borderId="21" xfId="0" applyFill="1" applyBorder="1" applyAlignment="1">
      <alignment horizontal="right"/>
    </xf>
    <xf numFmtId="0" fontId="1" fillId="0" borderId="15" xfId="0" applyNumberFormat="1" applyFont="1" applyFill="1" applyBorder="1" applyAlignment="1">
      <alignment wrapText="1"/>
    </xf>
    <xf numFmtId="0" fontId="1" fillId="0" borderId="41" xfId="0" applyFont="1" applyBorder="1" applyAlignment="1">
      <alignment wrapText="1"/>
    </xf>
    <xf numFmtId="0" fontId="1" fillId="0" borderId="16" xfId="0" applyFont="1" applyBorder="1" applyAlignment="1">
      <alignment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2" fillId="37" borderId="0" xfId="0" applyFont="1" applyFill="1" applyBorder="1" applyAlignment="1">
      <alignment wrapText="1"/>
    </xf>
    <xf numFmtId="0" fontId="63" fillId="0" borderId="0" xfId="0" applyFont="1" applyFill="1" applyBorder="1" applyAlignment="1">
      <alignment wrapText="1"/>
    </xf>
    <xf numFmtId="0" fontId="65" fillId="0" borderId="0" xfId="0" applyFont="1" applyAlignment="1">
      <alignment/>
    </xf>
    <xf numFmtId="0" fontId="6" fillId="37" borderId="35" xfId="0" applyFont="1" applyFill="1" applyBorder="1" applyAlignment="1">
      <alignment vertical="center" wrapText="1"/>
    </xf>
    <xf numFmtId="0" fontId="1" fillId="37" borderId="35" xfId="0" applyFont="1" applyFill="1" applyBorder="1" applyAlignment="1">
      <alignment vertical="center"/>
    </xf>
    <xf numFmtId="0" fontId="2" fillId="0" borderId="12" xfId="0" applyFont="1" applyFill="1" applyBorder="1" applyAlignment="1">
      <alignment horizontal="center" vertical="center"/>
    </xf>
    <xf numFmtId="0" fontId="0" fillId="0" borderId="12" xfId="0" applyBorder="1" applyAlignment="1">
      <alignment horizontal="center" vertical="center"/>
    </xf>
    <xf numFmtId="0" fontId="44"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4" fontId="2" fillId="0" borderId="41"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0" fontId="2" fillId="0" borderId="12" xfId="0" applyFont="1" applyFill="1" applyBorder="1" applyAlignment="1">
      <alignment horizontal="right" vertical="center"/>
    </xf>
    <xf numFmtId="0" fontId="6" fillId="37" borderId="11" xfId="0" applyFont="1" applyFill="1" applyBorder="1" applyAlignment="1">
      <alignment horizontal="left" vertical="center" wrapText="1"/>
    </xf>
    <xf numFmtId="0" fontId="0" fillId="0" borderId="11" xfId="0" applyBorder="1" applyAlignment="1">
      <alignment horizontal="left" vertical="center" wrapText="1"/>
    </xf>
    <xf numFmtId="0" fontId="44"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1" fillId="0" borderId="15"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1" fillId="0" borderId="15" xfId="0" applyFont="1" applyFill="1" applyBorder="1" applyAlignment="1" applyProtection="1">
      <alignment vertical="center" wrapText="1"/>
      <protection/>
    </xf>
    <xf numFmtId="0" fontId="0" fillId="0" borderId="41" xfId="0" applyBorder="1" applyAlignment="1" applyProtection="1">
      <alignment vertical="center" wrapText="1"/>
      <protection/>
    </xf>
    <xf numFmtId="2" fontId="0" fillId="38" borderId="15" xfId="0" applyNumberFormat="1" applyFill="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2" fontId="0" fillId="38" borderId="41" xfId="0" applyNumberFormat="1" applyFill="1" applyBorder="1" applyAlignment="1" applyProtection="1">
      <alignment horizontal="center" vertical="center" wrapText="1"/>
      <protection/>
    </xf>
    <xf numFmtId="0" fontId="1" fillId="0" borderId="16" xfId="0" applyFont="1" applyFill="1" applyBorder="1" applyAlignment="1" applyProtection="1">
      <alignment vertical="center" wrapText="1"/>
      <protection/>
    </xf>
    <xf numFmtId="0" fontId="25" fillId="47" borderId="61" xfId="0" applyFont="1" applyFill="1" applyBorder="1" applyAlignment="1" applyProtection="1">
      <alignment vertical="center" wrapText="1"/>
      <protection/>
    </xf>
    <xf numFmtId="0" fontId="25" fillId="37" borderId="61" xfId="0" applyFont="1" applyFill="1" applyBorder="1" applyAlignment="1" applyProtection="1">
      <alignment vertical="center" wrapText="1"/>
      <protection/>
    </xf>
    <xf numFmtId="0" fontId="18" fillId="0" borderId="0" xfId="0" applyFont="1" applyAlignment="1">
      <alignment horizontal="left"/>
    </xf>
    <xf numFmtId="2" fontId="0" fillId="37" borderId="0" xfId="0" applyNumberFormat="1" applyFont="1" applyFill="1" applyBorder="1" applyAlignment="1">
      <alignment horizontal="left" vertical="center" wrapText="1"/>
    </xf>
    <xf numFmtId="0" fontId="0" fillId="0" borderId="0" xfId="0" applyAlignment="1">
      <alignment vertical="center" wrapText="1"/>
    </xf>
    <xf numFmtId="167" fontId="0" fillId="37" borderId="0" xfId="0" applyNumberFormat="1" applyFont="1" applyFill="1" applyBorder="1" applyAlignment="1">
      <alignment horizontal="left" vertical="center" wrapText="1"/>
    </xf>
    <xf numFmtId="2" fontId="0" fillId="37" borderId="0" xfId="0" applyNumberFormat="1" applyFill="1" applyBorder="1" applyAlignment="1">
      <alignment horizontal="left" vertical="center" wrapText="1"/>
    </xf>
    <xf numFmtId="0" fontId="0" fillId="0" borderId="0" xfId="0" applyBorder="1" applyAlignment="1">
      <alignment vertical="center" wrapText="1"/>
    </xf>
    <xf numFmtId="0" fontId="66" fillId="0" borderId="52" xfId="0" applyFont="1" applyFill="1" applyBorder="1" applyAlignment="1">
      <alignment wrapText="1"/>
    </xf>
    <xf numFmtId="0" fontId="66" fillId="0" borderId="53" xfId="0" applyFont="1" applyFill="1" applyBorder="1" applyAlignment="1">
      <alignment wrapText="1"/>
    </xf>
    <xf numFmtId="0" fontId="66" fillId="0" borderId="54" xfId="0" applyFont="1" applyFill="1" applyBorder="1" applyAlignment="1">
      <alignment wrapText="1"/>
    </xf>
    <xf numFmtId="0" fontId="66" fillId="0" borderId="46" xfId="0" applyFont="1" applyFill="1" applyBorder="1" applyAlignment="1">
      <alignment wrapText="1"/>
    </xf>
    <xf numFmtId="0" fontId="66" fillId="0" borderId="0" xfId="0" applyFont="1" applyFill="1" applyBorder="1" applyAlignment="1">
      <alignment wrapText="1"/>
    </xf>
    <xf numFmtId="0" fontId="66" fillId="0" borderId="47" xfId="0" applyFont="1" applyFill="1" applyBorder="1" applyAlignment="1">
      <alignment wrapText="1"/>
    </xf>
    <xf numFmtId="0" fontId="66" fillId="0" borderId="55" xfId="0" applyFont="1" applyFill="1" applyBorder="1" applyAlignment="1">
      <alignment wrapText="1"/>
    </xf>
    <xf numFmtId="0" fontId="66" fillId="0" borderId="56" xfId="0" applyFont="1" applyFill="1" applyBorder="1" applyAlignment="1">
      <alignment wrapText="1"/>
    </xf>
    <xf numFmtId="0" fontId="66" fillId="0" borderId="57" xfId="0" applyFont="1" applyFill="1" applyBorder="1" applyAlignment="1">
      <alignment wrapText="1"/>
    </xf>
    <xf numFmtId="0" fontId="1" fillId="37" borderId="0" xfId="0" applyNumberFormat="1" applyFont="1" applyFill="1" applyBorder="1" applyAlignment="1">
      <alignment horizontal="left" vertical="center" wrapText="1"/>
    </xf>
    <xf numFmtId="0" fontId="1" fillId="0" borderId="0" xfId="0" applyFont="1" applyAlignment="1">
      <alignment wrapText="1"/>
    </xf>
    <xf numFmtId="0" fontId="0" fillId="0" borderId="41" xfId="0" applyBorder="1" applyAlignment="1">
      <alignment horizontal="right" vertical="center"/>
    </xf>
    <xf numFmtId="0" fontId="0" fillId="0" borderId="16" xfId="0" applyBorder="1" applyAlignment="1">
      <alignment horizontal="right" vertical="center"/>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mma0" xfId="45"/>
    <cellStyle name="Corner heading" xfId="46"/>
    <cellStyle name="Currency" xfId="47"/>
    <cellStyle name="Currency [0]" xfId="48"/>
    <cellStyle name="Currency0" xfId="49"/>
    <cellStyle name="Data" xfId="50"/>
    <cellStyle name="Data no deci" xfId="51"/>
    <cellStyle name="Data Superscript" xfId="52"/>
    <cellStyle name="Data_1-1A-Regular" xfId="53"/>
    <cellStyle name="Data-one deci" xfId="54"/>
    <cellStyle name="Date" xfId="55"/>
    <cellStyle name="Explanatory Text" xfId="56"/>
    <cellStyle name="Fixed" xfId="57"/>
    <cellStyle name="Followed Hyperlink" xfId="58"/>
    <cellStyle name="Good" xfId="59"/>
    <cellStyle name="Heading 1" xfId="60"/>
    <cellStyle name="Heading 2" xfId="61"/>
    <cellStyle name="Heading 3" xfId="62"/>
    <cellStyle name="Heading 4" xfId="63"/>
    <cellStyle name="Hed Side" xfId="64"/>
    <cellStyle name="Hed Side bold" xfId="65"/>
    <cellStyle name="Hed Side Indent" xfId="66"/>
    <cellStyle name="Hed Side Regular" xfId="67"/>
    <cellStyle name="Hed Side_1-1A-Regular" xfId="68"/>
    <cellStyle name="Hed Top" xfId="69"/>
    <cellStyle name="Hed Top - SECTION" xfId="70"/>
    <cellStyle name="Hed Top_3-new4" xfId="71"/>
    <cellStyle name="Hyperlink" xfId="72"/>
    <cellStyle name="Input" xfId="73"/>
    <cellStyle name="Linked Cell" xfId="74"/>
    <cellStyle name="Milliers [0]_Annex_comb_guideline_version4-2" xfId="75"/>
    <cellStyle name="Milliers_Annex_comb_guideline_version4-2" xfId="76"/>
    <cellStyle name="Monétaire [0]_Annex comb guideline 4-7" xfId="77"/>
    <cellStyle name="Monétaire_Annex_comb_guideline_version4-2" xfId="78"/>
    <cellStyle name="Neutral" xfId="79"/>
    <cellStyle name="Note" xfId="80"/>
    <cellStyle name="Output" xfId="81"/>
    <cellStyle name="Percent" xfId="82"/>
    <cellStyle name="Reference" xfId="83"/>
    <cellStyle name="Row heading" xfId="84"/>
    <cellStyle name="Source Hed" xfId="85"/>
    <cellStyle name="Source Letter" xfId="86"/>
    <cellStyle name="Source Superscript" xfId="87"/>
    <cellStyle name="Source Text" xfId="88"/>
    <cellStyle name="State" xfId="89"/>
    <cellStyle name="Superscript" xfId="90"/>
    <cellStyle name="Superscript- regular" xfId="91"/>
    <cellStyle name="Superscript_1-1A-Regular" xfId="92"/>
    <cellStyle name="Table Data" xfId="93"/>
    <cellStyle name="Table Head Top" xfId="94"/>
    <cellStyle name="Table Hed Side" xfId="95"/>
    <cellStyle name="Table Title" xfId="96"/>
    <cellStyle name="Title" xfId="97"/>
    <cellStyle name="Title Text" xfId="98"/>
    <cellStyle name="Title Text 1" xfId="99"/>
    <cellStyle name="Title Text 2" xfId="100"/>
    <cellStyle name="Title-1" xfId="101"/>
    <cellStyle name="Title-2" xfId="102"/>
    <cellStyle name="Title-3" xfId="103"/>
    <cellStyle name="Total" xfId="104"/>
    <cellStyle name="Warning Text" xfId="105"/>
    <cellStyle name="Wrap" xfId="106"/>
    <cellStyle name="Wrap Bold" xfId="107"/>
    <cellStyle name="Wrap Title" xfId="108"/>
    <cellStyle name="Wrap_NTS99-~11"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WRI\WRI%20calculation%20tools%20-%20mob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cell r="J196">
            <v>1614.481954110483</v>
          </cell>
        </row>
        <row r="197">
          <cell r="E197">
            <v>5</v>
          </cell>
          <cell r="F197">
            <v>1.8033254000000003</v>
          </cell>
          <cell r="G197">
            <v>1803.3254000000004</v>
          </cell>
          <cell r="H197">
            <v>1.6093</v>
          </cell>
          <cell r="I197">
            <v>1120.5650904119807</v>
          </cell>
          <cell r="J197">
            <v>1291.5855632883865</v>
          </cell>
        </row>
        <row r="198">
          <cell r="E198">
            <v>6</v>
          </cell>
          <cell r="F198">
            <v>1.502771166666667</v>
          </cell>
          <cell r="G198">
            <v>1502.7711666666669</v>
          </cell>
          <cell r="H198">
            <v>1.6093</v>
          </cell>
          <cell r="I198">
            <v>933.8042420099838</v>
          </cell>
          <cell r="J198">
            <v>1076.3213027403222</v>
          </cell>
        </row>
        <row r="199">
          <cell r="E199">
            <v>7</v>
          </cell>
          <cell r="F199">
            <v>1.2880895714285716</v>
          </cell>
          <cell r="G199">
            <v>1288.0895714285716</v>
          </cell>
          <cell r="H199">
            <v>1.6093</v>
          </cell>
          <cell r="I199">
            <v>800.4036360085576</v>
          </cell>
          <cell r="J199">
            <v>922.5611166345617</v>
          </cell>
        </row>
        <row r="200">
          <cell r="E200">
            <v>8</v>
          </cell>
          <cell r="F200">
            <v>1.1270783750000002</v>
          </cell>
          <cell r="G200">
            <v>1127.0783750000003</v>
          </cell>
          <cell r="H200">
            <v>1.6093</v>
          </cell>
          <cell r="I200">
            <v>700.3531815074879</v>
          </cell>
          <cell r="J200">
            <v>807.2409770552415</v>
          </cell>
        </row>
        <row r="201">
          <cell r="E201">
            <v>9</v>
          </cell>
          <cell r="F201">
            <v>1.0018474444444445</v>
          </cell>
          <cell r="G201">
            <v>1001.8474444444445</v>
          </cell>
          <cell r="H201">
            <v>1.6093</v>
          </cell>
          <cell r="I201">
            <v>622.5361613399891</v>
          </cell>
          <cell r="J201">
            <v>717.5475351602146</v>
          </cell>
        </row>
        <row r="202">
          <cell r="E202">
            <v>10</v>
          </cell>
          <cell r="F202">
            <v>0.9016627000000002</v>
          </cell>
          <cell r="G202">
            <v>901.6627000000002</v>
          </cell>
          <cell r="H202">
            <v>1.6093</v>
          </cell>
          <cell r="I202">
            <v>560.2825452059903</v>
          </cell>
          <cell r="J202">
            <v>645.7927816441933</v>
          </cell>
        </row>
        <row r="203">
          <cell r="E203">
            <v>11</v>
          </cell>
          <cell r="F203">
            <v>0.8196933636363638</v>
          </cell>
          <cell r="G203">
            <v>819.6933636363638</v>
          </cell>
          <cell r="H203">
            <v>1.6093</v>
          </cell>
          <cell r="I203">
            <v>509.3477683690821</v>
          </cell>
          <cell r="J203">
            <v>587.0843469492665</v>
          </cell>
        </row>
        <row r="204">
          <cell r="E204">
            <v>12</v>
          </cell>
          <cell r="F204">
            <v>0.7513855833333335</v>
          </cell>
          <cell r="G204">
            <v>751.3855833333334</v>
          </cell>
          <cell r="H204">
            <v>1.6093</v>
          </cell>
          <cell r="I204">
            <v>466.9021210049919</v>
          </cell>
          <cell r="J204">
            <v>538.1606513701611</v>
          </cell>
        </row>
        <row r="205">
          <cell r="E205">
            <v>13</v>
          </cell>
          <cell r="F205">
            <v>0.6935866923076924</v>
          </cell>
          <cell r="G205">
            <v>693.5866923076925</v>
          </cell>
          <cell r="H205">
            <v>1.6093</v>
          </cell>
          <cell r="I205">
            <v>430.9865732353772</v>
          </cell>
          <cell r="J205">
            <v>496.7636781878409</v>
          </cell>
        </row>
        <row r="206">
          <cell r="E206">
            <v>14</v>
          </cell>
          <cell r="F206">
            <v>0.6440447857142858</v>
          </cell>
          <cell r="G206">
            <v>644.0447857142858</v>
          </cell>
          <cell r="H206">
            <v>1.6093</v>
          </cell>
          <cell r="I206">
            <v>400.2018180042788</v>
          </cell>
          <cell r="J206">
            <v>461.28055831728085</v>
          </cell>
        </row>
        <row r="207">
          <cell r="E207">
            <v>15</v>
          </cell>
          <cell r="F207">
            <v>0.6011084666666667</v>
          </cell>
          <cell r="G207">
            <v>601.1084666666667</v>
          </cell>
          <cell r="H207">
            <v>1.6093</v>
          </cell>
          <cell r="I207">
            <v>373.52169680399345</v>
          </cell>
          <cell r="J207">
            <v>430.5285210961287</v>
          </cell>
        </row>
        <row r="208">
          <cell r="E208">
            <v>16</v>
          </cell>
          <cell r="F208">
            <v>0.5635391875000001</v>
          </cell>
          <cell r="G208">
            <v>563.5391875000001</v>
          </cell>
          <cell r="H208">
            <v>1.6093</v>
          </cell>
          <cell r="I208">
            <v>350.17659075374394</v>
          </cell>
          <cell r="J208">
            <v>403.62048852762075</v>
          </cell>
        </row>
        <row r="209">
          <cell r="E209">
            <v>17</v>
          </cell>
          <cell r="F209">
            <v>0.5303898235294119</v>
          </cell>
          <cell r="G209">
            <v>530.3898235294118</v>
          </cell>
          <cell r="H209">
            <v>1.6093</v>
          </cell>
          <cell r="I209">
            <v>329.5779677682296</v>
          </cell>
          <cell r="J209">
            <v>379.8781068495254</v>
          </cell>
        </row>
        <row r="210">
          <cell r="E210">
            <v>18</v>
          </cell>
          <cell r="F210">
            <v>0.5009237222222223</v>
          </cell>
          <cell r="G210">
            <v>500.92372222222224</v>
          </cell>
          <cell r="H210">
            <v>1.6093</v>
          </cell>
          <cell r="I210">
            <v>311.26808066999456</v>
          </cell>
          <cell r="J210">
            <v>358.7737675801073</v>
          </cell>
        </row>
        <row r="211">
          <cell r="E211">
            <v>19</v>
          </cell>
          <cell r="F211">
            <v>0.47455931578947375</v>
          </cell>
          <cell r="G211">
            <v>474.55931578947377</v>
          </cell>
          <cell r="H211">
            <v>1.6093</v>
          </cell>
          <cell r="I211">
            <v>294.88555010841594</v>
          </cell>
          <cell r="J211">
            <v>339.8909377074701</v>
          </cell>
        </row>
        <row r="212">
          <cell r="E212">
            <v>20</v>
          </cell>
          <cell r="F212">
            <v>0.4508313500000001</v>
          </cell>
          <cell r="G212">
            <v>450.8313500000001</v>
          </cell>
          <cell r="H212">
            <v>1.6093</v>
          </cell>
          <cell r="I212">
            <v>280.1412726029952</v>
          </cell>
          <cell r="J212">
            <v>322.89639082209663</v>
          </cell>
        </row>
        <row r="213">
          <cell r="E213">
            <v>21</v>
          </cell>
          <cell r="F213">
            <v>0.42936319047619054</v>
          </cell>
          <cell r="G213">
            <v>429.36319047619054</v>
          </cell>
          <cell r="H213">
            <v>1.6093</v>
          </cell>
          <cell r="I213">
            <v>266.80121200285254</v>
          </cell>
          <cell r="J213">
            <v>307.52037221152057</v>
          </cell>
        </row>
        <row r="214">
          <cell r="E214">
            <v>22</v>
          </cell>
          <cell r="F214">
            <v>0.4098466818181819</v>
          </cell>
          <cell r="G214">
            <v>409.8466818181819</v>
          </cell>
          <cell r="H214">
            <v>1.6093</v>
          </cell>
          <cell r="I214">
            <v>254.67388418454104</v>
          </cell>
          <cell r="J214">
            <v>293.5421734746333</v>
          </cell>
        </row>
        <row r="215">
          <cell r="E215">
            <v>23</v>
          </cell>
          <cell r="F215">
            <v>0.3920272608695653</v>
          </cell>
          <cell r="G215">
            <v>392.0272608695653</v>
          </cell>
          <cell r="H215">
            <v>1.6093</v>
          </cell>
          <cell r="I215">
            <v>243.60110661130014</v>
          </cell>
          <cell r="J215">
            <v>280.779470280084</v>
          </cell>
        </row>
        <row r="216">
          <cell r="E216">
            <v>24</v>
          </cell>
          <cell r="F216">
            <v>0.37569279166666675</v>
          </cell>
          <cell r="G216">
            <v>375.6927916666667</v>
          </cell>
          <cell r="H216">
            <v>1.6093</v>
          </cell>
          <cell r="I216">
            <v>233.45106050249595</v>
          </cell>
          <cell r="J216">
            <v>269.08032568508054</v>
          </cell>
        </row>
        <row r="217">
          <cell r="E217">
            <v>25</v>
          </cell>
          <cell r="F217">
            <v>0.3606650800000001</v>
          </cell>
          <cell r="G217">
            <v>360.6650800000001</v>
          </cell>
          <cell r="H217">
            <v>1.6093</v>
          </cell>
          <cell r="I217">
            <v>224.11301808239614</v>
          </cell>
          <cell r="J217">
            <v>258.3171126576773</v>
          </cell>
        </row>
        <row r="218">
          <cell r="E218">
            <v>26</v>
          </cell>
          <cell r="F218">
            <v>0.3467933461538462</v>
          </cell>
          <cell r="G218">
            <v>346.79334615384624</v>
          </cell>
          <cell r="H218">
            <v>1.6093</v>
          </cell>
          <cell r="I218">
            <v>215.4932866176886</v>
          </cell>
          <cell r="J218">
            <v>248.38183909392046</v>
          </cell>
        </row>
        <row r="219">
          <cell r="E219">
            <v>27</v>
          </cell>
          <cell r="F219">
            <v>0.3339491481481482</v>
          </cell>
          <cell r="G219">
            <v>333.9491481481482</v>
          </cell>
          <cell r="H219">
            <v>1.6093</v>
          </cell>
          <cell r="I219">
            <v>207.5120537799964</v>
          </cell>
          <cell r="J219">
            <v>239.18251172007157</v>
          </cell>
        </row>
        <row r="220">
          <cell r="E220">
            <v>28</v>
          </cell>
          <cell r="F220">
            <v>0.3220223928571429</v>
          </cell>
          <cell r="G220">
            <v>322.0223928571429</v>
          </cell>
          <cell r="H220">
            <v>1.6093</v>
          </cell>
          <cell r="I220">
            <v>200.1009090021394</v>
          </cell>
          <cell r="J220">
            <v>230.64027915864042</v>
          </cell>
        </row>
        <row r="221">
          <cell r="E221">
            <v>29</v>
          </cell>
          <cell r="F221">
            <v>0.31091817241379316</v>
          </cell>
          <cell r="G221">
            <v>310.9181724137932</v>
          </cell>
          <cell r="H221">
            <v>1.6093</v>
          </cell>
          <cell r="I221">
            <v>193.20087765723804</v>
          </cell>
          <cell r="J221">
            <v>222.68716608420456</v>
          </cell>
        </row>
        <row r="222">
          <cell r="E222">
            <v>30</v>
          </cell>
          <cell r="F222">
            <v>0.30055423333333336</v>
          </cell>
          <cell r="G222">
            <v>300.55423333333334</v>
          </cell>
          <cell r="H222">
            <v>1.6093</v>
          </cell>
          <cell r="I222">
            <v>186.76084840199672</v>
          </cell>
          <cell r="J222">
            <v>215.26426054806436</v>
          </cell>
        </row>
        <row r="223">
          <cell r="E223">
            <v>31</v>
          </cell>
          <cell r="F223">
            <v>0.29085893548387104</v>
          </cell>
          <cell r="G223">
            <v>290.85893548387105</v>
          </cell>
          <cell r="H223">
            <v>1.6093</v>
          </cell>
          <cell r="I223">
            <v>180.7363049051582</v>
          </cell>
          <cell r="J223">
            <v>208.32025214328817</v>
          </cell>
        </row>
        <row r="224">
          <cell r="E224">
            <v>32</v>
          </cell>
          <cell r="F224">
            <v>0.28176959375000005</v>
          </cell>
          <cell r="G224">
            <v>281.76959375000007</v>
          </cell>
          <cell r="H224">
            <v>1.6093</v>
          </cell>
          <cell r="I224">
            <v>175.08829537687197</v>
          </cell>
          <cell r="J224">
            <v>201.81024426381038</v>
          </cell>
        </row>
        <row r="225">
          <cell r="E225">
            <v>33</v>
          </cell>
          <cell r="F225">
            <v>0.27323112121212123</v>
          </cell>
          <cell r="G225">
            <v>273.23112121212125</v>
          </cell>
          <cell r="H225">
            <v>1.6093</v>
          </cell>
          <cell r="I225">
            <v>169.78258945636068</v>
          </cell>
          <cell r="J225">
            <v>195.69478231642216</v>
          </cell>
        </row>
        <row r="226">
          <cell r="E226">
            <v>34</v>
          </cell>
          <cell r="F226">
            <v>0.26519491176470594</v>
          </cell>
          <cell r="G226">
            <v>265.1949117647059</v>
          </cell>
          <cell r="H226">
            <v>1.6093</v>
          </cell>
          <cell r="I226">
            <v>164.7889838841148</v>
          </cell>
          <cell r="J226">
            <v>189.9390534247627</v>
          </cell>
        </row>
        <row r="227">
          <cell r="E227">
            <v>35</v>
          </cell>
          <cell r="F227">
            <v>0.25761791428571434</v>
          </cell>
          <cell r="G227">
            <v>257.61791428571433</v>
          </cell>
          <cell r="H227">
            <v>1.6093</v>
          </cell>
          <cell r="I227">
            <v>160.0807272017115</v>
          </cell>
          <cell r="J227">
            <v>184.51222332691233</v>
          </cell>
        </row>
        <row r="228">
          <cell r="E228">
            <v>36</v>
          </cell>
          <cell r="F228">
            <v>0.25046186111111113</v>
          </cell>
          <cell r="G228">
            <v>250.46186111111112</v>
          </cell>
          <cell r="H228">
            <v>1.6093</v>
          </cell>
          <cell r="I228">
            <v>155.63404033499728</v>
          </cell>
          <cell r="J228">
            <v>179.38688379005364</v>
          </cell>
        </row>
        <row r="229">
          <cell r="E229">
            <v>37</v>
          </cell>
          <cell r="F229">
            <v>0.24369262162162167</v>
          </cell>
          <cell r="G229">
            <v>243.69262162162167</v>
          </cell>
          <cell r="H229">
            <v>1.6093</v>
          </cell>
          <cell r="I229">
            <v>151.4277149205379</v>
          </cell>
          <cell r="J229">
            <v>174.53858963356572</v>
          </cell>
        </row>
        <row r="230">
          <cell r="E230">
            <v>38</v>
          </cell>
          <cell r="F230">
            <v>0.23727965789473687</v>
          </cell>
          <cell r="G230">
            <v>237.27965789473689</v>
          </cell>
          <cell r="H230">
            <v>1.6093</v>
          </cell>
          <cell r="I230">
            <v>147.44277505420797</v>
          </cell>
          <cell r="J230">
            <v>169.94546885373504</v>
          </cell>
        </row>
        <row r="231">
          <cell r="E231">
            <v>39</v>
          </cell>
          <cell r="F231">
            <v>0.23119556410256414</v>
          </cell>
          <cell r="G231">
            <v>231.19556410256413</v>
          </cell>
          <cell r="H231">
            <v>1.6093</v>
          </cell>
          <cell r="I231">
            <v>143.66219107845905</v>
          </cell>
          <cell r="J231">
            <v>165.5878927292803</v>
          </cell>
        </row>
        <row r="232">
          <cell r="E232">
            <v>40</v>
          </cell>
          <cell r="F232">
            <v>0.22541567500000004</v>
          </cell>
          <cell r="G232">
            <v>225.41567500000005</v>
          </cell>
          <cell r="H232">
            <v>1.6093</v>
          </cell>
          <cell r="I232">
            <v>140.0706363014976</v>
          </cell>
          <cell r="J232">
            <v>161.44819541104832</v>
          </cell>
        </row>
        <row r="233">
          <cell r="E233">
            <v>41</v>
          </cell>
          <cell r="F233">
            <v>0.2199177317073171</v>
          </cell>
          <cell r="G233">
            <v>219.9177317073171</v>
          </cell>
          <cell r="H233">
            <v>1.6093</v>
          </cell>
          <cell r="I233">
            <v>136.6542793185342</v>
          </cell>
          <cell r="J233">
            <v>157.51043454736418</v>
          </cell>
        </row>
        <row r="234">
          <cell r="E234">
            <v>42</v>
          </cell>
          <cell r="F234">
            <v>0.21468159523809527</v>
          </cell>
          <cell r="G234">
            <v>214.68159523809527</v>
          </cell>
          <cell r="H234">
            <v>1.6093</v>
          </cell>
          <cell r="I234">
            <v>133.40060600142627</v>
          </cell>
          <cell r="J234">
            <v>153.76018610576028</v>
          </cell>
        </row>
        <row r="235">
          <cell r="E235">
            <v>43</v>
          </cell>
          <cell r="F235">
            <v>0.20968900000000004</v>
          </cell>
          <cell r="G235">
            <v>209.68900000000005</v>
          </cell>
          <cell r="H235">
            <v>1.6093</v>
          </cell>
          <cell r="I235">
            <v>130.2982663269745</v>
          </cell>
          <cell r="J235">
            <v>150.18436782423097</v>
          </cell>
        </row>
        <row r="236">
          <cell r="E236">
            <v>44</v>
          </cell>
          <cell r="F236">
            <v>0.20492334090909095</v>
          </cell>
          <cell r="G236">
            <v>204.92334090909094</v>
          </cell>
          <cell r="H236">
            <v>1.6093</v>
          </cell>
          <cell r="I236">
            <v>127.33694209227052</v>
          </cell>
          <cell r="J236">
            <v>146.77108673731664</v>
          </cell>
        </row>
        <row r="237">
          <cell r="E237">
            <v>45</v>
          </cell>
          <cell r="F237">
            <v>0.20036948888888892</v>
          </cell>
          <cell r="G237">
            <v>200.36948888888892</v>
          </cell>
          <cell r="H237">
            <v>1.6093</v>
          </cell>
          <cell r="I237">
            <v>124.50723226799785</v>
          </cell>
          <cell r="J237">
            <v>143.50950703204293</v>
          </cell>
        </row>
        <row r="238">
          <cell r="E238">
            <v>46</v>
          </cell>
          <cell r="F238">
            <v>0.19601363043478265</v>
          </cell>
          <cell r="G238">
            <v>196.01363043478264</v>
          </cell>
          <cell r="H238">
            <v>1.6093</v>
          </cell>
          <cell r="I238">
            <v>121.80055330565007</v>
          </cell>
          <cell r="J238">
            <v>140.389735140042</v>
          </cell>
        </row>
        <row r="239">
          <cell r="E239">
            <v>47</v>
          </cell>
          <cell r="F239">
            <v>0.1918431276595745</v>
          </cell>
          <cell r="G239">
            <v>191.84312765957452</v>
          </cell>
          <cell r="H239">
            <v>1.6093</v>
          </cell>
          <cell r="I239">
            <v>119.20905217148731</v>
          </cell>
          <cell r="J239">
            <v>137.40271949876455</v>
          </cell>
        </row>
        <row r="240">
          <cell r="E240">
            <v>48</v>
          </cell>
          <cell r="F240">
            <v>0.18784639583333337</v>
          </cell>
          <cell r="G240">
            <v>187.84639583333336</v>
          </cell>
          <cell r="H240">
            <v>1.6093</v>
          </cell>
          <cell r="I240">
            <v>116.72553025124797</v>
          </cell>
          <cell r="J240">
            <v>134.54016284254027</v>
          </cell>
        </row>
        <row r="241">
          <cell r="E241">
            <v>49</v>
          </cell>
          <cell r="F241">
            <v>0.1840127959183674</v>
          </cell>
          <cell r="G241">
            <v>184.0127959183674</v>
          </cell>
          <cell r="H241">
            <v>1.6093</v>
          </cell>
          <cell r="I241">
            <v>114.3433765726511</v>
          </cell>
          <cell r="J241">
            <v>131.79444523350884</v>
          </cell>
        </row>
        <row r="242">
          <cell r="E242">
            <v>50</v>
          </cell>
          <cell r="F242">
            <v>0.18033254000000004</v>
          </cell>
          <cell r="G242">
            <v>180.33254000000005</v>
          </cell>
          <cell r="H242">
            <v>1.6093</v>
          </cell>
          <cell r="I242">
            <v>112.05650904119807</v>
          </cell>
          <cell r="J242">
            <v>129.15855632883864</v>
          </cell>
        </row>
        <row r="243">
          <cell r="E243">
            <v>51</v>
          </cell>
          <cell r="F243">
            <v>0.17679660784313728</v>
          </cell>
          <cell r="G243">
            <v>176.79660784313728</v>
          </cell>
          <cell r="H243">
            <v>1.6093</v>
          </cell>
          <cell r="I243">
            <v>109.85932258940986</v>
          </cell>
          <cell r="J243">
            <v>126.62603561650847</v>
          </cell>
        </row>
        <row r="244">
          <cell r="E244">
            <v>52</v>
          </cell>
          <cell r="F244">
            <v>0.1733966730769231</v>
          </cell>
          <cell r="G244">
            <v>173.39667307692312</v>
          </cell>
          <cell r="H244">
            <v>1.6093</v>
          </cell>
          <cell r="I244">
            <v>107.7466433088443</v>
          </cell>
          <cell r="J244">
            <v>124.19091954696023</v>
          </cell>
        </row>
        <row r="245">
          <cell r="E245">
            <v>53</v>
          </cell>
          <cell r="F245">
            <v>0.17012503773584908</v>
          </cell>
          <cell r="G245">
            <v>170.12503773584908</v>
          </cell>
          <cell r="H245">
            <v>1.6093</v>
          </cell>
          <cell r="I245">
            <v>105.71368777471514</v>
          </cell>
          <cell r="J245">
            <v>121.84769464984777</v>
          </cell>
        </row>
        <row r="246">
          <cell r="E246">
            <v>54</v>
          </cell>
          <cell r="F246">
            <v>0.1669745740740741</v>
          </cell>
          <cell r="G246">
            <v>166.9745740740741</v>
          </cell>
          <cell r="H246">
            <v>1.6093</v>
          </cell>
          <cell r="I246">
            <v>103.7560268899982</v>
          </cell>
          <cell r="J246">
            <v>119.59125586003579</v>
          </cell>
        </row>
        <row r="247">
          <cell r="E247">
            <v>55</v>
          </cell>
          <cell r="F247">
            <v>0.16393867272727275</v>
          </cell>
          <cell r="G247">
            <v>163.93867272727275</v>
          </cell>
          <cell r="H247">
            <v>1.6093</v>
          </cell>
          <cell r="I247">
            <v>101.86955367381641</v>
          </cell>
          <cell r="J247">
            <v>117.41686938985332</v>
          </cell>
        </row>
        <row r="248">
          <cell r="E248">
            <v>56</v>
          </cell>
          <cell r="F248">
            <v>0.16101119642857145</v>
          </cell>
          <cell r="G248">
            <v>161.01119642857145</v>
          </cell>
          <cell r="H248">
            <v>1.6093</v>
          </cell>
          <cell r="I248">
            <v>100.0504545010697</v>
          </cell>
          <cell r="J248">
            <v>115.32013957932021</v>
          </cell>
        </row>
        <row r="249">
          <cell r="E249">
            <v>57</v>
          </cell>
          <cell r="F249">
            <v>0.15818643859649126</v>
          </cell>
          <cell r="G249">
            <v>158.18643859649126</v>
          </cell>
          <cell r="H249">
            <v>1.6093</v>
          </cell>
          <cell r="I249">
            <v>98.29518336947199</v>
          </cell>
          <cell r="J249">
            <v>113.29697923582337</v>
          </cell>
        </row>
        <row r="250">
          <cell r="E250">
            <v>58</v>
          </cell>
          <cell r="F250">
            <v>0.15545908620689658</v>
          </cell>
          <cell r="G250">
            <v>155.4590862068966</v>
          </cell>
          <cell r="H250">
            <v>1.6093</v>
          </cell>
          <cell r="I250">
            <v>96.60043882861902</v>
          </cell>
          <cell r="J250">
            <v>111.34358304210228</v>
          </cell>
        </row>
        <row r="251">
          <cell r="E251">
            <v>59</v>
          </cell>
          <cell r="F251">
            <v>0.152824186440678</v>
          </cell>
          <cell r="G251">
            <v>152.824186440678</v>
          </cell>
          <cell r="H251">
            <v>1.6093</v>
          </cell>
          <cell r="I251">
            <v>94.9631432552526</v>
          </cell>
          <cell r="J251">
            <v>109.45640366850733</v>
          </cell>
        </row>
        <row r="252">
          <cell r="E252">
            <v>60</v>
          </cell>
          <cell r="F252">
            <v>0.15027711666666668</v>
          </cell>
          <cell r="G252">
            <v>150.27711666666667</v>
          </cell>
          <cell r="H252">
            <v>1.6093</v>
          </cell>
          <cell r="I252">
            <v>93.38042420099836</v>
          </cell>
          <cell r="J252">
            <v>107.63213027403218</v>
          </cell>
        </row>
        <row r="253">
          <cell r="E253">
            <v>61</v>
          </cell>
          <cell r="F253">
            <v>0.1478135573770492</v>
          </cell>
          <cell r="G253">
            <v>147.81355737704922</v>
          </cell>
          <cell r="H253">
            <v>1.6093</v>
          </cell>
          <cell r="I253">
            <v>91.84959757475252</v>
          </cell>
          <cell r="J253">
            <v>105.8676691219989</v>
          </cell>
        </row>
        <row r="254">
          <cell r="E254">
            <v>62</v>
          </cell>
          <cell r="F254">
            <v>0.14542946774193552</v>
          </cell>
          <cell r="G254">
            <v>145.42946774193553</v>
          </cell>
          <cell r="H254">
            <v>1.6093</v>
          </cell>
          <cell r="I254">
            <v>90.3681524525791</v>
          </cell>
          <cell r="J254">
            <v>104.16012607164409</v>
          </cell>
        </row>
        <row r="255">
          <cell r="E255">
            <v>63</v>
          </cell>
          <cell r="F255">
            <v>0.14312106349206352</v>
          </cell>
          <cell r="G255">
            <v>143.1210634920635</v>
          </cell>
          <cell r="H255">
            <v>1.6093</v>
          </cell>
          <cell r="I255">
            <v>88.93373733428417</v>
          </cell>
          <cell r="J255">
            <v>102.50679073717353</v>
          </cell>
        </row>
        <row r="256">
          <cell r="E256">
            <v>64</v>
          </cell>
          <cell r="F256">
            <v>0.14088479687500002</v>
          </cell>
          <cell r="G256">
            <v>140.88479687500003</v>
          </cell>
          <cell r="H256">
            <v>1.6093</v>
          </cell>
          <cell r="I256">
            <v>87.54414768843598</v>
          </cell>
          <cell r="J256">
            <v>100.90512213190519</v>
          </cell>
        </row>
        <row r="257">
          <cell r="E257">
            <v>65</v>
          </cell>
          <cell r="F257">
            <v>0.1387173384615385</v>
          </cell>
          <cell r="G257">
            <v>138.7173384615385</v>
          </cell>
          <cell r="H257">
            <v>1.6093</v>
          </cell>
          <cell r="I257">
            <v>86.19731464707544</v>
          </cell>
          <cell r="J257">
            <v>99.3527356375682</v>
          </cell>
        </row>
        <row r="258">
          <cell r="E258">
            <v>66</v>
          </cell>
          <cell r="F258">
            <v>0.13661556060606062</v>
          </cell>
          <cell r="G258">
            <v>136.61556060606063</v>
          </cell>
          <cell r="H258">
            <v>1.6093</v>
          </cell>
          <cell r="I258">
            <v>84.89129472818034</v>
          </cell>
          <cell r="J258">
            <v>97.84739115821108</v>
          </cell>
        </row>
        <row r="259">
          <cell r="E259">
            <v>67</v>
          </cell>
          <cell r="F259">
            <v>0.13457652238805973</v>
          </cell>
          <cell r="G259">
            <v>134.57652238805971</v>
          </cell>
          <cell r="H259">
            <v>1.6093</v>
          </cell>
          <cell r="I259">
            <v>83.624260478506</v>
          </cell>
          <cell r="J259">
            <v>96.3869823349542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36"/>
  <sheetViews>
    <sheetView tabSelected="1" zoomScale="75" zoomScaleNormal="75" zoomScalePageLayoutView="0" workbookViewId="0" topLeftCell="A1">
      <selection activeCell="A1" sqref="A1"/>
    </sheetView>
  </sheetViews>
  <sheetFormatPr defaultColWidth="9.140625" defaultRowHeight="12.75"/>
  <cols>
    <col min="2" max="2" width="5.421875" style="0" customWidth="1"/>
    <col min="3" max="3" width="17.28125" style="0" customWidth="1"/>
    <col min="4" max="6" width="15.28125" style="0" customWidth="1"/>
    <col min="7" max="7" width="24.57421875" style="0" customWidth="1"/>
    <col min="10" max="10" width="10.8515625" style="0" customWidth="1"/>
  </cols>
  <sheetData>
    <row r="1" spans="2:10" s="16" customFormat="1" ht="122.25" customHeight="1" thickTop="1">
      <c r="B1" s="887" t="s">
        <v>453</v>
      </c>
      <c r="C1" s="888"/>
      <c r="D1" s="888"/>
      <c r="E1" s="888"/>
      <c r="F1" s="888"/>
      <c r="G1" s="888"/>
      <c r="H1" s="888"/>
      <c r="I1" s="888"/>
      <c r="J1" s="889"/>
    </row>
    <row r="2" spans="2:10" ht="41.25" customHeight="1">
      <c r="B2" s="57"/>
      <c r="C2" s="879" t="s">
        <v>19</v>
      </c>
      <c r="D2" s="880"/>
      <c r="E2" s="880"/>
      <c r="F2" s="880"/>
      <c r="G2" s="880"/>
      <c r="H2" s="881"/>
      <c r="I2" s="881"/>
      <c r="J2" s="58"/>
    </row>
    <row r="3" spans="2:10" ht="15.75" customHeight="1">
      <c r="B3" s="57"/>
      <c r="C3" s="65"/>
      <c r="D3" s="65"/>
      <c r="E3" s="65"/>
      <c r="F3" s="65"/>
      <c r="G3" s="65"/>
      <c r="H3" s="65"/>
      <c r="I3" s="65"/>
      <c r="J3" s="58"/>
    </row>
    <row r="4" spans="2:10" ht="12.75">
      <c r="B4" s="57"/>
      <c r="C4" s="895" t="s">
        <v>560</v>
      </c>
      <c r="D4" s="895"/>
      <c r="E4" s="895"/>
      <c r="F4" s="895"/>
      <c r="G4" s="895"/>
      <c r="H4" s="896"/>
      <c r="I4" s="897"/>
      <c r="J4" s="898"/>
    </row>
    <row r="5" spans="2:10" ht="12.75">
      <c r="B5" s="57"/>
      <c r="C5" s="895"/>
      <c r="D5" s="895"/>
      <c r="E5" s="895"/>
      <c r="F5" s="895"/>
      <c r="G5" s="895"/>
      <c r="H5" s="896"/>
      <c r="I5" s="897"/>
      <c r="J5" s="898"/>
    </row>
    <row r="6" spans="2:10" ht="12.75">
      <c r="B6" s="57"/>
      <c r="C6" s="895"/>
      <c r="D6" s="895"/>
      <c r="E6" s="895"/>
      <c r="F6" s="895"/>
      <c r="G6" s="895"/>
      <c r="H6" s="896"/>
      <c r="I6" s="897"/>
      <c r="J6" s="898"/>
    </row>
    <row r="7" spans="2:10" ht="12.75">
      <c r="B7" s="57"/>
      <c r="C7" s="895"/>
      <c r="D7" s="895"/>
      <c r="E7" s="895"/>
      <c r="F7" s="895"/>
      <c r="G7" s="895"/>
      <c r="H7" s="896"/>
      <c r="I7" s="897"/>
      <c r="J7" s="898"/>
    </row>
    <row r="8" spans="2:10" ht="15.75" customHeight="1">
      <c r="B8" s="57"/>
      <c r="C8" s="895"/>
      <c r="D8" s="895"/>
      <c r="E8" s="895"/>
      <c r="F8" s="895"/>
      <c r="G8" s="895"/>
      <c r="H8" s="896"/>
      <c r="I8" s="897"/>
      <c r="J8" s="898"/>
    </row>
    <row r="9" spans="2:10" ht="13.5" customHeight="1">
      <c r="B9" s="57"/>
      <c r="C9" s="895"/>
      <c r="D9" s="895"/>
      <c r="E9" s="895"/>
      <c r="F9" s="895"/>
      <c r="G9" s="895"/>
      <c r="H9" s="896"/>
      <c r="I9" s="897"/>
      <c r="J9" s="898"/>
    </row>
    <row r="10" spans="2:10" ht="12.75" customHeight="1">
      <c r="B10" s="57"/>
      <c r="C10" s="277"/>
      <c r="D10" s="277"/>
      <c r="E10" s="277"/>
      <c r="F10" s="277"/>
      <c r="G10" s="277"/>
      <c r="H10" s="278"/>
      <c r="I10" s="279"/>
      <c r="J10" s="280"/>
    </row>
    <row r="11" spans="2:13" ht="29.25" customHeight="1">
      <c r="B11" s="57"/>
      <c r="C11" s="890" t="s">
        <v>229</v>
      </c>
      <c r="D11" s="891"/>
      <c r="E11" s="891"/>
      <c r="F11" s="891"/>
      <c r="G11" s="891"/>
      <c r="H11" s="891"/>
      <c r="I11" s="892"/>
      <c r="J11" s="893"/>
      <c r="M11" s="597"/>
    </row>
    <row r="12" spans="2:13" ht="11.25" customHeight="1">
      <c r="B12" s="57"/>
      <c r="C12" s="899"/>
      <c r="D12" s="900"/>
      <c r="E12" s="900"/>
      <c r="F12" s="900"/>
      <c r="G12" s="900"/>
      <c r="H12" s="900"/>
      <c r="I12" s="65"/>
      <c r="J12" s="58"/>
      <c r="M12" s="597"/>
    </row>
    <row r="13" spans="2:13" s="257" customFormat="1" ht="15">
      <c r="B13" s="78"/>
      <c r="C13" s="894" t="s">
        <v>104</v>
      </c>
      <c r="D13" s="894"/>
      <c r="E13" s="894"/>
      <c r="F13" s="894"/>
      <c r="G13" s="894"/>
      <c r="H13" s="894"/>
      <c r="I13" s="79"/>
      <c r="J13" s="113"/>
      <c r="M13" s="597"/>
    </row>
    <row r="14" spans="2:13" s="257" customFormat="1" ht="36" customHeight="1">
      <c r="B14" s="78"/>
      <c r="C14" s="894"/>
      <c r="D14" s="894"/>
      <c r="E14" s="894"/>
      <c r="F14" s="894"/>
      <c r="G14" s="894"/>
      <c r="H14" s="894"/>
      <c r="I14" s="79"/>
      <c r="J14" s="113"/>
      <c r="M14" s="597"/>
    </row>
    <row r="15" spans="2:13" s="257" customFormat="1" ht="15" customHeight="1">
      <c r="B15" s="78"/>
      <c r="C15" s="262"/>
      <c r="D15" s="256" t="s">
        <v>574</v>
      </c>
      <c r="E15" s="79"/>
      <c r="F15" s="79"/>
      <c r="G15" s="79"/>
      <c r="H15" s="79"/>
      <c r="I15" s="79"/>
      <c r="J15" s="113"/>
      <c r="M15" s="597"/>
    </row>
    <row r="16" spans="2:13" s="257" customFormat="1" ht="15" customHeight="1">
      <c r="B16" s="78"/>
      <c r="C16" s="79"/>
      <c r="D16" s="256" t="s">
        <v>575</v>
      </c>
      <c r="E16" s="79"/>
      <c r="F16" s="79"/>
      <c r="G16" s="79"/>
      <c r="H16" s="79"/>
      <c r="I16" s="79"/>
      <c r="J16" s="113"/>
      <c r="M16" s="597"/>
    </row>
    <row r="17" spans="2:13" s="257" customFormat="1" ht="15" customHeight="1">
      <c r="B17" s="78"/>
      <c r="C17" s="79"/>
      <c r="D17" s="256" t="s">
        <v>168</v>
      </c>
      <c r="E17" s="79"/>
      <c r="F17" s="79"/>
      <c r="G17" s="79"/>
      <c r="H17" s="79"/>
      <c r="I17" s="79"/>
      <c r="J17" s="113"/>
      <c r="M17" s="597"/>
    </row>
    <row r="18" spans="2:13" s="257" customFormat="1" ht="15" customHeight="1">
      <c r="B18" s="78"/>
      <c r="C18" s="79"/>
      <c r="D18" s="256" t="s">
        <v>599</v>
      </c>
      <c r="E18" s="79"/>
      <c r="F18" s="79"/>
      <c r="G18" s="79"/>
      <c r="H18" s="79"/>
      <c r="I18" s="79"/>
      <c r="J18" s="113"/>
      <c r="M18" s="597"/>
    </row>
    <row r="19" spans="2:10" s="257" customFormat="1" ht="15" customHeight="1">
      <c r="B19" s="78"/>
      <c r="C19" s="79"/>
      <c r="D19" s="256" t="s">
        <v>220</v>
      </c>
      <c r="E19" s="79"/>
      <c r="F19" s="79"/>
      <c r="G19" s="79"/>
      <c r="H19" s="79"/>
      <c r="I19" s="79"/>
      <c r="J19" s="113"/>
    </row>
    <row r="20" spans="2:10" s="257" customFormat="1" ht="15" customHeight="1">
      <c r="B20" s="78"/>
      <c r="C20" s="79"/>
      <c r="D20" s="256" t="s">
        <v>601</v>
      </c>
      <c r="E20" s="79"/>
      <c r="F20" s="79"/>
      <c r="G20" s="79"/>
      <c r="H20" s="79"/>
      <c r="I20" s="79"/>
      <c r="J20" s="113"/>
    </row>
    <row r="21" spans="2:10" s="257" customFormat="1" ht="15" customHeight="1">
      <c r="B21" s="78"/>
      <c r="C21" s="79"/>
      <c r="D21" s="256" t="s">
        <v>602</v>
      </c>
      <c r="E21" s="79"/>
      <c r="F21" s="79"/>
      <c r="G21" s="79"/>
      <c r="H21" s="79"/>
      <c r="I21" s="79"/>
      <c r="J21" s="113"/>
    </row>
    <row r="22" spans="2:10" s="257" customFormat="1" ht="15" customHeight="1">
      <c r="B22" s="78"/>
      <c r="C22" s="79"/>
      <c r="D22" s="79" t="s">
        <v>603</v>
      </c>
      <c r="E22" s="79"/>
      <c r="F22" s="79"/>
      <c r="G22" s="79"/>
      <c r="H22" s="79"/>
      <c r="I22" s="79"/>
      <c r="J22" s="113"/>
    </row>
    <row r="23" spans="2:10" s="257" customFormat="1" ht="14.25" customHeight="1">
      <c r="B23" s="78"/>
      <c r="C23" s="79"/>
      <c r="D23" s="256" t="s">
        <v>176</v>
      </c>
      <c r="E23" s="79"/>
      <c r="F23" s="79"/>
      <c r="G23" s="79"/>
      <c r="H23" s="79"/>
      <c r="I23" s="79"/>
      <c r="J23" s="113"/>
    </row>
    <row r="24" spans="2:10" s="257" customFormat="1" ht="14.25" customHeight="1">
      <c r="B24" s="78"/>
      <c r="C24" s="79"/>
      <c r="D24" s="256"/>
      <c r="E24" s="79"/>
      <c r="F24" s="79"/>
      <c r="G24" s="79"/>
      <c r="H24" s="79"/>
      <c r="I24" s="79"/>
      <c r="J24" s="113"/>
    </row>
    <row r="25" spans="2:14" s="257" customFormat="1" ht="176.25" customHeight="1">
      <c r="B25" s="78"/>
      <c r="C25" s="894" t="s">
        <v>105</v>
      </c>
      <c r="D25" s="884"/>
      <c r="E25" s="884"/>
      <c r="F25" s="884"/>
      <c r="G25" s="884"/>
      <c r="H25" s="884"/>
      <c r="I25" s="884"/>
      <c r="J25" s="113"/>
      <c r="N25" s="596"/>
    </row>
    <row r="26" spans="2:14" s="257" customFormat="1" ht="14.25" customHeight="1">
      <c r="B26" s="78"/>
      <c r="C26" s="79"/>
      <c r="D26" s="256"/>
      <c r="E26" s="79"/>
      <c r="F26" s="79"/>
      <c r="G26" s="79"/>
      <c r="H26" s="79"/>
      <c r="I26" s="79"/>
      <c r="J26" s="113"/>
      <c r="N26" s="596"/>
    </row>
    <row r="27" spans="2:14" s="257" customFormat="1" ht="42.75" customHeight="1">
      <c r="B27" s="78"/>
      <c r="C27" s="879" t="s">
        <v>162</v>
      </c>
      <c r="D27" s="882"/>
      <c r="E27" s="882"/>
      <c r="F27" s="882"/>
      <c r="G27" s="882"/>
      <c r="H27" s="882"/>
      <c r="I27" s="882"/>
      <c r="J27" s="113"/>
      <c r="N27" s="596"/>
    </row>
    <row r="28" spans="2:14" s="257" customFormat="1" ht="14.25" customHeight="1">
      <c r="B28" s="78"/>
      <c r="C28" s="79"/>
      <c r="D28" s="256"/>
      <c r="E28" s="79"/>
      <c r="F28" s="79"/>
      <c r="G28" s="79"/>
      <c r="H28" s="79"/>
      <c r="I28" s="79"/>
      <c r="J28" s="113"/>
      <c r="N28" s="596"/>
    </row>
    <row r="29" spans="2:14" s="257" customFormat="1" ht="53.25" customHeight="1">
      <c r="B29" s="78"/>
      <c r="C29" s="599" t="s">
        <v>164</v>
      </c>
      <c r="D29" s="883" t="s">
        <v>163</v>
      </c>
      <c r="E29" s="884"/>
      <c r="F29" s="884"/>
      <c r="G29" s="884"/>
      <c r="H29" s="884"/>
      <c r="I29" s="884"/>
      <c r="J29" s="113"/>
      <c r="N29" s="596"/>
    </row>
    <row r="30" spans="2:14" s="257" customFormat="1" ht="54.75" customHeight="1">
      <c r="B30" s="78"/>
      <c r="C30" s="599" t="s">
        <v>165</v>
      </c>
      <c r="D30" s="883" t="s">
        <v>142</v>
      </c>
      <c r="E30" s="884"/>
      <c r="F30" s="884"/>
      <c r="G30" s="884"/>
      <c r="H30" s="884"/>
      <c r="I30" s="884"/>
      <c r="J30" s="113"/>
      <c r="N30" s="596"/>
    </row>
    <row r="31" spans="2:14" ht="168.75" customHeight="1">
      <c r="B31" s="57"/>
      <c r="C31" s="599" t="s">
        <v>166</v>
      </c>
      <c r="D31" s="885" t="s">
        <v>143</v>
      </c>
      <c r="E31" s="886"/>
      <c r="F31" s="886"/>
      <c r="G31" s="886"/>
      <c r="H31" s="886"/>
      <c r="I31" s="886"/>
      <c r="J31" s="58"/>
      <c r="N31" s="596"/>
    </row>
    <row r="32" spans="2:14" ht="13.5" customHeight="1" thickBot="1">
      <c r="B32" s="80"/>
      <c r="C32" s="81"/>
      <c r="D32" s="81"/>
      <c r="E32" s="81"/>
      <c r="F32" s="81"/>
      <c r="G32" s="81"/>
      <c r="H32" s="81"/>
      <c r="I32" s="81"/>
      <c r="J32" s="77"/>
      <c r="K32" s="568"/>
      <c r="N32" s="26"/>
    </row>
    <row r="33" spans="3:9" ht="13.5" customHeight="1" thickTop="1">
      <c r="C33" s="31"/>
      <c r="D33" s="31"/>
      <c r="E33" s="31"/>
      <c r="F33" s="31"/>
      <c r="G33" s="31"/>
      <c r="H33" s="31"/>
      <c r="I33" s="31"/>
    </row>
    <row r="34" spans="3:9" ht="13.5" customHeight="1">
      <c r="C34" s="31"/>
      <c r="D34" s="31"/>
      <c r="E34" s="31"/>
      <c r="F34" s="31"/>
      <c r="G34" s="31"/>
      <c r="H34" s="31"/>
      <c r="I34" s="31"/>
    </row>
    <row r="35" spans="3:9" ht="13.5" customHeight="1">
      <c r="C35" s="31"/>
      <c r="D35" s="31"/>
      <c r="E35" s="31"/>
      <c r="F35" s="31"/>
      <c r="G35" s="31"/>
      <c r="H35" s="31"/>
      <c r="I35" s="31"/>
    </row>
    <row r="36" spans="3:9" ht="14.25" customHeight="1">
      <c r="C36" s="31"/>
      <c r="D36" s="31"/>
      <c r="E36" s="31"/>
      <c r="F36" s="31"/>
      <c r="G36" s="31"/>
      <c r="H36" s="31"/>
      <c r="I36" s="31"/>
    </row>
  </sheetData>
  <sheetProtection password="CD08" sheet="1" objects="1" scenarios="1"/>
  <mergeCells count="11">
    <mergeCell ref="C12:H12"/>
    <mergeCell ref="C2:I2"/>
    <mergeCell ref="C27:I27"/>
    <mergeCell ref="D29:I29"/>
    <mergeCell ref="D30:I30"/>
    <mergeCell ref="D31:I31"/>
    <mergeCell ref="B1:J1"/>
    <mergeCell ref="C11:J11"/>
    <mergeCell ref="C25:I25"/>
    <mergeCell ref="C4:J9"/>
    <mergeCell ref="C13:H14"/>
  </mergeCells>
  <printOptions/>
  <pageMargins left="0.75" right="0.75" top="1" bottom="1" header="0.5" footer="0.5"/>
  <pageSetup fitToHeight="1" fitToWidth="1" horizontalDpi="600" verticalDpi="600" orientation="portrait" scale="64" r:id="rId1"/>
  <headerFooter alignWithMargins="0">
    <oddHeader>&amp;L&amp;D&amp;R&amp;F</oddHeader>
  </headerFooter>
  <ignoredErrors>
    <ignoredError sqref="C29:C3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1:N39"/>
  <sheetViews>
    <sheetView zoomScale="75" zoomScaleNormal="75" zoomScalePageLayoutView="0" workbookViewId="0" topLeftCell="A1">
      <selection activeCell="A1" sqref="A1"/>
    </sheetView>
  </sheetViews>
  <sheetFormatPr defaultColWidth="9.140625" defaultRowHeight="12.75"/>
  <cols>
    <col min="1" max="1" width="7.28125" style="819" customWidth="1"/>
    <col min="2" max="2" width="4.57421875" style="819" customWidth="1"/>
    <col min="3" max="3" width="9.421875" style="820" customWidth="1"/>
    <col min="4" max="4" width="51.140625" style="820" customWidth="1"/>
    <col min="5" max="5" width="4.140625" style="820" customWidth="1"/>
    <col min="6" max="6" width="19.28125" style="822" customWidth="1"/>
    <col min="7" max="7" width="18.57421875" style="823" customWidth="1"/>
    <col min="8" max="8" width="19.00390625" style="819" customWidth="1"/>
    <col min="9" max="9" width="20.57421875" style="819" customWidth="1"/>
    <col min="10" max="16384" width="9.140625" style="819" customWidth="1"/>
  </cols>
  <sheetData>
    <row r="1" spans="3:14" ht="60" customHeight="1">
      <c r="C1" s="1008" t="s">
        <v>229</v>
      </c>
      <c r="D1" s="1008"/>
      <c r="E1" s="1009"/>
      <c r="F1" s="1009"/>
      <c r="G1" s="1009"/>
      <c r="H1" s="1009"/>
      <c r="I1" s="1009"/>
      <c r="J1" s="1010"/>
      <c r="K1" s="1011"/>
      <c r="L1" s="1012"/>
      <c r="M1" s="1012"/>
      <c r="N1" s="1012"/>
    </row>
    <row r="2" spans="3:4" ht="23.25">
      <c r="C2" s="821" t="s">
        <v>598</v>
      </c>
      <c r="D2" s="821"/>
    </row>
    <row r="3" ht="13.5" thickBot="1"/>
    <row r="4" spans="2:10" ht="40.5" customHeight="1" thickTop="1">
      <c r="B4" s="824"/>
      <c r="C4" s="825" t="s">
        <v>598</v>
      </c>
      <c r="D4" s="826"/>
      <c r="E4" s="827"/>
      <c r="F4" s="828"/>
      <c r="G4" s="828"/>
      <c r="H4" s="828"/>
      <c r="I4" s="829"/>
      <c r="J4" s="830"/>
    </row>
    <row r="5" spans="2:10" ht="15">
      <c r="B5" s="831"/>
      <c r="C5" s="1013" t="s">
        <v>596</v>
      </c>
      <c r="D5" s="1014"/>
      <c r="E5" s="832"/>
      <c r="F5" s="1017">
        <f>IF('Operations in Inventory'!F8="","",'Operations in Inventory'!F8)</f>
      </c>
      <c r="G5" s="1018"/>
      <c r="H5" s="1018"/>
      <c r="I5" s="1019"/>
      <c r="J5" s="833"/>
    </row>
    <row r="6" spans="2:10" ht="15">
      <c r="B6" s="831"/>
      <c r="C6" s="834"/>
      <c r="D6" s="834"/>
      <c r="E6" s="834"/>
      <c r="F6" s="835"/>
      <c r="G6" s="835"/>
      <c r="H6" s="835"/>
      <c r="I6" s="118"/>
      <c r="J6" s="833"/>
    </row>
    <row r="7" spans="2:10" ht="72.75" customHeight="1">
      <c r="B7" s="831"/>
      <c r="C7" s="1015" t="s">
        <v>597</v>
      </c>
      <c r="D7" s="1016"/>
      <c r="E7" s="836"/>
      <c r="F7" s="1020">
        <f>IF('Operations in Inventory'!F10="","",'Operations in Inventory'!F10)</f>
      </c>
      <c r="G7" s="1018"/>
      <c r="H7" s="1018"/>
      <c r="I7" s="1019"/>
      <c r="J7" s="833"/>
    </row>
    <row r="8" spans="2:10" ht="15.75" customHeight="1" thickBot="1">
      <c r="B8" s="831"/>
      <c r="C8" s="837"/>
      <c r="D8" s="837"/>
      <c r="E8" s="837"/>
      <c r="F8" s="118"/>
      <c r="G8" s="118"/>
      <c r="H8" s="118"/>
      <c r="I8" s="838"/>
      <c r="J8" s="833"/>
    </row>
    <row r="9" spans="2:10" ht="77.25" customHeight="1" thickTop="1">
      <c r="B9" s="824"/>
      <c r="C9" s="826" t="s">
        <v>185</v>
      </c>
      <c r="D9" s="826"/>
      <c r="E9" s="839"/>
      <c r="F9" s="840" t="s">
        <v>56</v>
      </c>
      <c r="G9" s="841" t="s">
        <v>57</v>
      </c>
      <c r="H9" s="841" t="s">
        <v>58</v>
      </c>
      <c r="I9" s="841" t="s">
        <v>59</v>
      </c>
      <c r="J9" s="830"/>
    </row>
    <row r="10" spans="2:10" ht="51" customHeight="1">
      <c r="B10" s="831"/>
      <c r="C10" s="1015" t="s">
        <v>46</v>
      </c>
      <c r="D10" s="1016"/>
      <c r="E10" s="836"/>
      <c r="F10" s="842">
        <f>'Direct - Fuel Combust.'!I38</f>
        <v>0</v>
      </c>
      <c r="G10" s="843">
        <f>'Direct - Fuel Combust.'!J38</f>
        <v>0</v>
      </c>
      <c r="H10" s="843">
        <f>'Direct - Fuel Combust.'!K38</f>
        <v>0</v>
      </c>
      <c r="I10" s="844">
        <f>F10+G10*21+H10*310</f>
        <v>0</v>
      </c>
      <c r="J10" s="833"/>
    </row>
    <row r="11" spans="2:10" ht="18" customHeight="1">
      <c r="B11" s="831"/>
      <c r="C11" s="837"/>
      <c r="D11" s="837"/>
      <c r="E11" s="837"/>
      <c r="F11" s="845"/>
      <c r="G11" s="845"/>
      <c r="H11" s="845"/>
      <c r="I11" s="838"/>
      <c r="J11" s="833"/>
    </row>
    <row r="12" spans="2:10" ht="64.5" customHeight="1">
      <c r="B12" s="831"/>
      <c r="C12" s="837"/>
      <c r="D12" s="846" t="s">
        <v>47</v>
      </c>
      <c r="E12" s="847"/>
      <c r="F12" s="842">
        <f>'Indirect - Energy Exports'!I35</f>
        <v>0</v>
      </c>
      <c r="G12" s="843">
        <f>'Indirect - Energy Exports'!J35</f>
        <v>0</v>
      </c>
      <c r="H12" s="843">
        <f>'Indirect - Energy Exports'!K35</f>
        <v>0</v>
      </c>
      <c r="I12" s="844">
        <f>F12+G12*21+H12*310</f>
        <v>0</v>
      </c>
      <c r="J12" s="833"/>
    </row>
    <row r="13" spans="2:10" ht="15">
      <c r="B13" s="831"/>
      <c r="C13" s="834"/>
      <c r="D13" s="834"/>
      <c r="E13" s="834"/>
      <c r="F13" s="835"/>
      <c r="G13" s="835"/>
      <c r="H13" s="835"/>
      <c r="I13" s="118"/>
      <c r="J13" s="833"/>
    </row>
    <row r="14" spans="2:10" ht="51" customHeight="1">
      <c r="B14" s="831"/>
      <c r="C14" s="1015" t="s">
        <v>48</v>
      </c>
      <c r="D14" s="1016"/>
      <c r="E14" s="836"/>
      <c r="F14" s="842">
        <f>'Mobile &amp; Transportation'!I112</f>
        <v>0</v>
      </c>
      <c r="G14" s="843">
        <f>'Mobile &amp; Transportation'!J112</f>
        <v>0</v>
      </c>
      <c r="H14" s="843">
        <f>'Mobile &amp; Transportation'!K112</f>
        <v>0</v>
      </c>
      <c r="I14" s="844">
        <f>F14+G14*21+H14*310</f>
        <v>0</v>
      </c>
      <c r="J14" s="833"/>
    </row>
    <row r="15" spans="2:10" ht="15">
      <c r="B15" s="831"/>
      <c r="C15" s="837"/>
      <c r="D15" s="837"/>
      <c r="E15" s="837"/>
      <c r="F15" s="838"/>
      <c r="G15" s="838"/>
      <c r="H15" s="838"/>
      <c r="I15" s="838"/>
      <c r="J15" s="833"/>
    </row>
    <row r="16" spans="2:10" ht="53.25" customHeight="1">
      <c r="B16" s="831"/>
      <c r="C16" s="1015" t="s">
        <v>49</v>
      </c>
      <c r="D16" s="1021"/>
      <c r="E16" s="847"/>
      <c r="F16" s="845" t="s">
        <v>50</v>
      </c>
      <c r="G16" s="843">
        <f>'Waste Mngmt.'!Q48+'Waste Mngmt.'!J159</f>
        <v>0</v>
      </c>
      <c r="H16" s="845" t="s">
        <v>50</v>
      </c>
      <c r="I16" s="842">
        <f>G16*21</f>
        <v>0</v>
      </c>
      <c r="J16" s="833"/>
    </row>
    <row r="17" spans="2:10" ht="18" customHeight="1">
      <c r="B17" s="831"/>
      <c r="C17" s="837"/>
      <c r="D17" s="837"/>
      <c r="E17" s="837"/>
      <c r="F17" s="118"/>
      <c r="G17" s="118"/>
      <c r="H17" s="118"/>
      <c r="I17" s="838"/>
      <c r="J17" s="833"/>
    </row>
    <row r="18" spans="2:10" ht="43.5" customHeight="1">
      <c r="B18" s="831"/>
      <c r="C18" s="1015" t="s">
        <v>51</v>
      </c>
      <c r="D18" s="1021"/>
      <c r="E18" s="847"/>
      <c r="F18" s="842">
        <f>F10+F14</f>
        <v>0</v>
      </c>
      <c r="G18" s="843">
        <f>G10+G14+G16</f>
        <v>0</v>
      </c>
      <c r="H18" s="843">
        <f>H10+H14</f>
        <v>0</v>
      </c>
      <c r="I18" s="842">
        <f>F18+G18*21+H18*310</f>
        <v>0</v>
      </c>
      <c r="J18" s="833"/>
    </row>
    <row r="19" spans="2:10" ht="20.25" customHeight="1" thickBot="1">
      <c r="B19" s="848"/>
      <c r="C19" s="849"/>
      <c r="D19" s="849"/>
      <c r="E19" s="849"/>
      <c r="F19" s="850"/>
      <c r="G19" s="850"/>
      <c r="H19" s="850"/>
      <c r="I19" s="851"/>
      <c r="J19" s="852"/>
    </row>
    <row r="20" spans="2:10" ht="37.5" customHeight="1" thickTop="1">
      <c r="B20" s="831"/>
      <c r="C20" s="1023" t="s">
        <v>186</v>
      </c>
      <c r="D20" s="1023"/>
      <c r="E20" s="853"/>
      <c r="F20" s="840" t="s">
        <v>56</v>
      </c>
      <c r="G20" s="841" t="s">
        <v>57</v>
      </c>
      <c r="H20" s="841" t="s">
        <v>58</v>
      </c>
      <c r="I20" s="841" t="s">
        <v>59</v>
      </c>
      <c r="J20" s="833"/>
    </row>
    <row r="21" spans="2:10" ht="54.75" customHeight="1">
      <c r="B21" s="831"/>
      <c r="C21" s="1015" t="s">
        <v>52</v>
      </c>
      <c r="D21" s="1021"/>
      <c r="E21" s="847"/>
      <c r="F21" s="842">
        <f>'Indirect - Energy Imports'!H31</f>
        <v>0</v>
      </c>
      <c r="G21" s="843">
        <f>'Indirect - Energy Imports'!I31</f>
        <v>0</v>
      </c>
      <c r="H21" s="843">
        <f>'Indirect - Energy Imports'!J31</f>
        <v>0</v>
      </c>
      <c r="I21" s="842">
        <f>F21+G21*21+H21*310</f>
        <v>0</v>
      </c>
      <c r="J21" s="833"/>
    </row>
    <row r="22" spans="2:10" ht="15">
      <c r="B22" s="831"/>
      <c r="C22" s="837"/>
      <c r="D22" s="837"/>
      <c r="E22" s="837"/>
      <c r="F22" s="838"/>
      <c r="G22" s="838"/>
      <c r="H22" s="838"/>
      <c r="I22" s="838"/>
      <c r="J22" s="833"/>
    </row>
    <row r="23" spans="2:10" ht="51" customHeight="1">
      <c r="B23" s="831"/>
      <c r="C23" s="1015" t="s">
        <v>53</v>
      </c>
      <c r="D23" s="1016"/>
      <c r="E23" s="836"/>
      <c r="F23" s="842">
        <f>'Mobile &amp; Transportation'!L112</f>
        <v>0</v>
      </c>
      <c r="G23" s="843">
        <f>'Mobile &amp; Transportation'!M112</f>
        <v>0</v>
      </c>
      <c r="H23" s="843">
        <f>'Mobile &amp; Transportation'!N112</f>
        <v>0</v>
      </c>
      <c r="I23" s="842">
        <f>F23+G23*21+H23*310</f>
        <v>0</v>
      </c>
      <c r="J23" s="833"/>
    </row>
    <row r="24" spans="2:10" ht="15">
      <c r="B24" s="831"/>
      <c r="C24" s="837"/>
      <c r="D24" s="837"/>
      <c r="E24" s="837"/>
      <c r="F24" s="838"/>
      <c r="G24" s="838"/>
      <c r="H24" s="838"/>
      <c r="I24" s="838"/>
      <c r="J24" s="833"/>
    </row>
    <row r="25" spans="2:10" ht="53.25" customHeight="1">
      <c r="B25" s="831"/>
      <c r="C25" s="1015" t="s">
        <v>54</v>
      </c>
      <c r="D25" s="1021"/>
      <c r="E25" s="847"/>
      <c r="F25" s="845" t="s">
        <v>50</v>
      </c>
      <c r="G25" s="843">
        <f>'Waste Mngmt.'!R48+'Waste Mngmt.'!K159</f>
        <v>0</v>
      </c>
      <c r="H25" s="845" t="s">
        <v>50</v>
      </c>
      <c r="I25" s="842">
        <f>G25*21</f>
        <v>0</v>
      </c>
      <c r="J25" s="833"/>
    </row>
    <row r="26" spans="2:10" ht="18" customHeight="1">
      <c r="B26" s="831"/>
      <c r="C26" s="837"/>
      <c r="D26" s="837"/>
      <c r="E26" s="837"/>
      <c r="F26" s="118"/>
      <c r="G26" s="118"/>
      <c r="H26" s="118"/>
      <c r="I26" s="838"/>
      <c r="J26" s="833"/>
    </row>
    <row r="27" spans="2:10" ht="43.5" customHeight="1">
      <c r="B27" s="831"/>
      <c r="C27" s="1015" t="s">
        <v>55</v>
      </c>
      <c r="D27" s="1021"/>
      <c r="E27" s="847"/>
      <c r="F27" s="842">
        <f>F21+F23</f>
        <v>0</v>
      </c>
      <c r="G27" s="843">
        <f>G21+G23+G25</f>
        <v>0</v>
      </c>
      <c r="H27" s="843">
        <f>H21+H23</f>
        <v>0</v>
      </c>
      <c r="I27" s="842">
        <f>F27+G27*21+H27*310</f>
        <v>0</v>
      </c>
      <c r="J27" s="833"/>
    </row>
    <row r="28" spans="2:10" ht="16.5" customHeight="1" thickBot="1">
      <c r="B28" s="848"/>
      <c r="C28" s="849"/>
      <c r="D28" s="849"/>
      <c r="E28" s="849"/>
      <c r="F28" s="870"/>
      <c r="G28" s="870"/>
      <c r="H28" s="870"/>
      <c r="I28" s="851"/>
      <c r="J28" s="852"/>
    </row>
    <row r="29" spans="3:6" ht="15.75" thickTop="1">
      <c r="C29" s="854"/>
      <c r="D29" s="854"/>
      <c r="E29" s="854"/>
      <c r="F29" s="855"/>
    </row>
    <row r="30" spans="3:6" ht="15.75" thickBot="1">
      <c r="C30" s="854"/>
      <c r="D30" s="854"/>
      <c r="E30" s="854"/>
      <c r="F30" s="855"/>
    </row>
    <row r="31" spans="2:10" ht="48.75" customHeight="1" thickTop="1">
      <c r="B31" s="856"/>
      <c r="C31" s="1022" t="s">
        <v>60</v>
      </c>
      <c r="D31" s="1022"/>
      <c r="E31" s="857"/>
      <c r="F31" s="858" t="s">
        <v>56</v>
      </c>
      <c r="G31" s="859"/>
      <c r="H31" s="859"/>
      <c r="I31" s="859" t="s">
        <v>59</v>
      </c>
      <c r="J31" s="860"/>
    </row>
    <row r="32" spans="2:10" ht="65.25" customHeight="1">
      <c r="B32" s="861"/>
      <c r="C32" s="1015" t="s">
        <v>61</v>
      </c>
      <c r="D32" s="1021"/>
      <c r="E32" s="847"/>
      <c r="F32" s="842">
        <f>'Biomass Combustion CO2'!J35</f>
        <v>0</v>
      </c>
      <c r="G32" s="862" t="s">
        <v>50</v>
      </c>
      <c r="H32" s="862" t="s">
        <v>50</v>
      </c>
      <c r="I32" s="863" t="s">
        <v>50</v>
      </c>
      <c r="J32" s="864"/>
    </row>
    <row r="33" spans="2:10" ht="15.75" customHeight="1" thickBot="1">
      <c r="B33" s="865"/>
      <c r="C33" s="866"/>
      <c r="D33" s="866"/>
      <c r="E33" s="866"/>
      <c r="F33" s="867"/>
      <c r="G33" s="867"/>
      <c r="H33" s="867"/>
      <c r="I33" s="868"/>
      <c r="J33" s="869"/>
    </row>
    <row r="34" spans="3:6" ht="15.75" thickTop="1">
      <c r="C34" s="854"/>
      <c r="D34" s="854"/>
      <c r="E34" s="854"/>
      <c r="F34" s="855"/>
    </row>
    <row r="35" spans="3:6" ht="15">
      <c r="C35" s="854"/>
      <c r="D35" s="854"/>
      <c r="E35" s="854"/>
      <c r="F35" s="855"/>
    </row>
    <row r="36" spans="3:6" ht="15">
      <c r="C36" s="854"/>
      <c r="D36" s="854"/>
      <c r="E36" s="854"/>
      <c r="F36" s="855"/>
    </row>
    <row r="37" spans="3:6" ht="15">
      <c r="C37" s="854"/>
      <c r="D37" s="854"/>
      <c r="E37" s="854"/>
      <c r="F37" s="855"/>
    </row>
    <row r="38" spans="3:6" ht="15">
      <c r="C38" s="854"/>
      <c r="D38" s="854"/>
      <c r="E38" s="854"/>
      <c r="F38" s="855"/>
    </row>
    <row r="39" spans="3:6" ht="15">
      <c r="C39" s="854"/>
      <c r="D39" s="854"/>
      <c r="E39" s="854"/>
      <c r="F39" s="855"/>
    </row>
  </sheetData>
  <sheetProtection password="CD08" sheet="1" objects="1" scenarios="1"/>
  <mergeCells count="16">
    <mergeCell ref="C14:D14"/>
    <mergeCell ref="C16:D16"/>
    <mergeCell ref="C31:D31"/>
    <mergeCell ref="C32:D32"/>
    <mergeCell ref="C27:D27"/>
    <mergeCell ref="C18:D18"/>
    <mergeCell ref="C21:D21"/>
    <mergeCell ref="C20:D20"/>
    <mergeCell ref="C23:D23"/>
    <mergeCell ref="C25:D25"/>
    <mergeCell ref="C1:N1"/>
    <mergeCell ref="C5:D5"/>
    <mergeCell ref="C7:D7"/>
    <mergeCell ref="C10:D10"/>
    <mergeCell ref="F5:I5"/>
    <mergeCell ref="F7:I7"/>
  </mergeCells>
  <printOptions horizontalCentered="1"/>
  <pageMargins left="0.75" right="0.75" top="1" bottom="1" header="0.5" footer="0.5"/>
  <pageSetup fitToHeight="1" fitToWidth="1" horizontalDpi="600" verticalDpi="600" orientation="portrait" scale="58" r:id="rId1"/>
  <headerFooter alignWithMargins="0">
    <oddHeader>&amp;L
&amp;F&amp;R&amp;D</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I43"/>
  <sheetViews>
    <sheetView zoomScale="75" zoomScaleNormal="75" zoomScalePageLayoutView="0" workbookViewId="0" topLeftCell="A1">
      <selection activeCell="A1" sqref="A1"/>
    </sheetView>
  </sheetViews>
  <sheetFormatPr defaultColWidth="9.7109375" defaultRowHeight="12.75"/>
  <cols>
    <col min="1" max="1" width="9.140625" style="4" customWidth="1"/>
    <col min="2" max="2" width="3.8515625" style="4" customWidth="1"/>
    <col min="3" max="3" width="23.00390625" style="4" customWidth="1"/>
    <col min="4" max="4" width="20.7109375" style="4" customWidth="1"/>
    <col min="5" max="5" width="21.7109375" style="4" customWidth="1"/>
    <col min="6" max="6" width="22.00390625" style="4" customWidth="1"/>
    <col min="7" max="7" width="4.8515625" style="4" customWidth="1"/>
    <col min="8" max="8" width="14.7109375" style="4" customWidth="1"/>
    <col min="9" max="9" width="15.7109375" style="4" customWidth="1"/>
    <col min="10" max="16384" width="9.7109375" style="4" customWidth="1"/>
  </cols>
  <sheetData>
    <row r="1" ht="15">
      <c r="A1" s="459" t="s">
        <v>440</v>
      </c>
    </row>
    <row r="2" spans="1:6" ht="15">
      <c r="A2" s="460" t="s">
        <v>443</v>
      </c>
      <c r="B2" s="183"/>
      <c r="C2" s="183"/>
      <c r="D2" s="183"/>
      <c r="E2" s="183"/>
      <c r="F2" s="183"/>
    </row>
    <row r="3" s="15" customFormat="1" ht="15.75"/>
    <row r="4" s="15" customFormat="1" ht="18" customHeight="1">
      <c r="C4" s="38" t="s">
        <v>395</v>
      </c>
    </row>
    <row r="5" s="15" customFormat="1" ht="18" customHeight="1">
      <c r="C5" s="38" t="s">
        <v>400</v>
      </c>
    </row>
    <row r="6" s="15" customFormat="1" ht="18" customHeight="1" thickBot="1"/>
    <row r="7" spans="2:7" s="15" customFormat="1" ht="25.5" customHeight="1" thickTop="1">
      <c r="B7" s="467" t="s">
        <v>177</v>
      </c>
      <c r="C7" s="458"/>
      <c r="D7" s="462"/>
      <c r="E7" s="458"/>
      <c r="F7" s="595"/>
      <c r="G7" s="471"/>
    </row>
    <row r="8" spans="2:7" s="15" customFormat="1" ht="15.75">
      <c r="B8" s="594"/>
      <c r="C8" s="1"/>
      <c r="D8" s="928" t="s">
        <v>513</v>
      </c>
      <c r="E8" s="985"/>
      <c r="F8" s="159"/>
      <c r="G8" s="335"/>
    </row>
    <row r="9" spans="2:7" s="15" customFormat="1" ht="15.75">
      <c r="B9" s="466"/>
      <c r="C9" s="1"/>
      <c r="D9" s="928" t="s">
        <v>404</v>
      </c>
      <c r="E9" s="928"/>
      <c r="F9" s="449"/>
      <c r="G9" s="335"/>
    </row>
    <row r="10" spans="2:7" s="15" customFormat="1" ht="15.75">
      <c r="B10" s="466"/>
      <c r="C10" s="1"/>
      <c r="D10" s="928" t="s">
        <v>255</v>
      </c>
      <c r="E10" s="985"/>
      <c r="F10" s="162"/>
      <c r="G10" s="335"/>
    </row>
    <row r="11" spans="2:7" s="15" customFormat="1" ht="19.5" customHeight="1" thickBot="1">
      <c r="B11" s="456"/>
      <c r="C11" s="440"/>
      <c r="D11" s="440"/>
      <c r="E11" s="440"/>
      <c r="F11" s="440"/>
      <c r="G11" s="457"/>
    </row>
    <row r="12" s="1" customFormat="1" ht="19.5" customHeight="1" thickBot="1" thickTop="1">
      <c r="B12" s="2"/>
    </row>
    <row r="13" spans="2:7" s="1" customFormat="1" ht="19.5" customHeight="1" thickTop="1">
      <c r="B13" s="54"/>
      <c r="C13" s="55"/>
      <c r="D13" s="55"/>
      <c r="E13" s="55"/>
      <c r="F13" s="55"/>
      <c r="G13" s="56"/>
    </row>
    <row r="14" spans="2:7" ht="19.5" customHeight="1">
      <c r="B14" s="57"/>
      <c r="C14" s="173"/>
      <c r="D14" s="22" t="s">
        <v>256</v>
      </c>
      <c r="E14" s="22" t="s">
        <v>257</v>
      </c>
      <c r="F14" s="22" t="s">
        <v>263</v>
      </c>
      <c r="G14" s="58"/>
    </row>
    <row r="15" spans="2:7" ht="38.25">
      <c r="B15" s="57"/>
      <c r="C15" s="174"/>
      <c r="D15" s="772" t="s">
        <v>566</v>
      </c>
      <c r="E15" s="22" t="s">
        <v>268</v>
      </c>
      <c r="F15" s="22" t="s">
        <v>269</v>
      </c>
      <c r="G15" s="58"/>
    </row>
    <row r="16" spans="2:7" ht="19.5" customHeight="1">
      <c r="B16" s="57"/>
      <c r="C16" s="174"/>
      <c r="D16" s="24"/>
      <c r="F16" s="125" t="s">
        <v>121</v>
      </c>
      <c r="G16" s="58"/>
    </row>
    <row r="17" spans="2:7" ht="19.5" customHeight="1">
      <c r="B17" s="57"/>
      <c r="C17" s="174"/>
      <c r="D17" s="125" t="s">
        <v>120</v>
      </c>
      <c r="E17" s="125" t="s">
        <v>413</v>
      </c>
      <c r="F17" s="125" t="s">
        <v>122</v>
      </c>
      <c r="G17" s="58"/>
    </row>
    <row r="18" spans="2:7" ht="33.75" customHeight="1">
      <c r="B18" s="57"/>
      <c r="C18" s="174"/>
      <c r="D18" s="125"/>
      <c r="E18" s="180" t="s">
        <v>438</v>
      </c>
      <c r="F18" s="125"/>
      <c r="G18" s="58"/>
    </row>
    <row r="19" spans="2:7" ht="19.5" customHeight="1">
      <c r="B19" s="57"/>
      <c r="C19" s="172"/>
      <c r="D19" s="115"/>
      <c r="E19" s="116"/>
      <c r="F19" s="117"/>
      <c r="G19" s="58"/>
    </row>
    <row r="20" spans="2:7" ht="19.5" customHeight="1">
      <c r="B20" s="57"/>
      <c r="C20" s="175" t="s">
        <v>405</v>
      </c>
      <c r="D20" s="23"/>
      <c r="E20" s="23"/>
      <c r="F20" s="25"/>
      <c r="G20" s="58"/>
    </row>
    <row r="21" spans="2:7" ht="19.5" customHeight="1">
      <c r="B21" s="57"/>
      <c r="C21" s="699"/>
      <c r="D21" s="677"/>
      <c r="E21" s="677"/>
      <c r="F21" s="132">
        <f>IF(D21=0,0,3.664*2000*E21/D21)</f>
        <v>0</v>
      </c>
      <c r="G21" s="58"/>
    </row>
    <row r="22" spans="2:7" ht="19.5" customHeight="1">
      <c r="B22" s="57"/>
      <c r="C22" s="699"/>
      <c r="D22" s="677"/>
      <c r="E22" s="677"/>
      <c r="F22" s="132">
        <f>IF(D22=0,0,3.664*2000*E22/D22)</f>
        <v>0</v>
      </c>
      <c r="G22" s="58"/>
    </row>
    <row r="23" spans="2:7" ht="19.5" customHeight="1">
      <c r="B23" s="57"/>
      <c r="C23" s="699"/>
      <c r="D23" s="677"/>
      <c r="E23" s="677"/>
      <c r="F23" s="132">
        <f>IF(D23=0,0,3.664*2000*E23/D23)</f>
        <v>0</v>
      </c>
      <c r="G23" s="58"/>
    </row>
    <row r="24" spans="2:7" ht="19.5" customHeight="1">
      <c r="B24" s="57"/>
      <c r="C24" s="699"/>
      <c r="D24" s="677"/>
      <c r="E24" s="677"/>
      <c r="F24" s="132">
        <f>IF(D24=0,0,3.664*2000*E24/D24)</f>
        <v>0</v>
      </c>
      <c r="G24" s="58"/>
    </row>
    <row r="25" spans="2:7" ht="19.5" customHeight="1">
      <c r="B25" s="57"/>
      <c r="C25" s="699"/>
      <c r="D25" s="677"/>
      <c r="E25" s="677"/>
      <c r="F25" s="132">
        <f>IF(D25=0,0,3.664*2000*E25/D25)</f>
        <v>0</v>
      </c>
      <c r="G25" s="58"/>
    </row>
    <row r="26" spans="2:7" ht="19.5" customHeight="1" thickBot="1">
      <c r="B26" s="80"/>
      <c r="C26" s="81"/>
      <c r="D26" s="81"/>
      <c r="E26" s="81"/>
      <c r="F26" s="81"/>
      <c r="G26" s="77"/>
    </row>
    <row r="27" ht="13.5" thickTop="1"/>
    <row r="31" spans="6:8" ht="12.75">
      <c r="F31" s="147"/>
      <c r="H31" s="554"/>
    </row>
    <row r="32" ht="12.75">
      <c r="F32" s="555"/>
    </row>
    <row r="37" ht="12.75">
      <c r="F37" s="555"/>
    </row>
    <row r="41" spans="8:9" ht="12.75">
      <c r="H41" s="147"/>
      <c r="I41" s="554"/>
    </row>
    <row r="43" ht="12.75">
      <c r="H43" s="555"/>
    </row>
  </sheetData>
  <sheetProtection password="CD08" sheet="1" objects="1" scenarios="1"/>
  <mergeCells count="3">
    <mergeCell ref="D10:E10"/>
    <mergeCell ref="D8:E8"/>
    <mergeCell ref="D9:E9"/>
  </mergeCells>
  <printOptions/>
  <pageMargins left="0.75" right="0.75" top="1" bottom="1" header="0.5" footer="0.5"/>
  <pageSetup fitToHeight="1" fitToWidth="1" horizontalDpi="600" verticalDpi="600" orientation="portrait" scale="67" r:id="rId3"/>
  <headerFooter alignWithMargins="0">
    <oddHeader>&amp;L&amp;D&amp;R&amp;F</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F37"/>
  <sheetViews>
    <sheetView zoomScale="75" zoomScaleNormal="75" zoomScalePageLayoutView="0" workbookViewId="0" topLeftCell="A1">
      <selection activeCell="A1" sqref="A1"/>
    </sheetView>
  </sheetViews>
  <sheetFormatPr defaultColWidth="9.140625" defaultRowHeight="12.75"/>
  <cols>
    <col min="1" max="1" width="4.00390625" style="0" customWidth="1"/>
    <col min="2" max="2" width="23.57421875" style="0" customWidth="1"/>
    <col min="3" max="3" width="26.00390625" style="0" customWidth="1"/>
    <col min="4" max="4" width="25.140625" style="0" customWidth="1"/>
    <col min="5" max="5" width="24.00390625" style="0" customWidth="1"/>
    <col min="6" max="6" width="8.00390625" style="0" customWidth="1"/>
    <col min="7" max="7" width="4.28125" style="0" customWidth="1"/>
  </cols>
  <sheetData>
    <row r="1" s="28" customFormat="1" ht="18" customHeight="1"/>
    <row r="2" spans="1:4" s="28" customFormat="1" ht="18" customHeight="1">
      <c r="A2" s="131" t="s">
        <v>192</v>
      </c>
      <c r="B2" s="131"/>
      <c r="C2" s="131"/>
      <c r="D2" s="131"/>
    </row>
    <row r="3" spans="1:6" s="28" customFormat="1" ht="18" customHeight="1">
      <c r="A3" s="1024" t="s">
        <v>442</v>
      </c>
      <c r="B3" s="1024"/>
      <c r="C3" s="1024"/>
      <c r="D3" s="1024"/>
      <c r="E3" s="1024"/>
      <c r="F3" s="1024"/>
    </row>
    <row r="4" s="28" customFormat="1" ht="18" customHeight="1">
      <c r="A4" s="248" t="s">
        <v>293</v>
      </c>
    </row>
    <row r="5" s="28" customFormat="1" ht="18" customHeight="1" thickBot="1"/>
    <row r="6" spans="1:6" s="28" customFormat="1" ht="18" customHeight="1" thickTop="1">
      <c r="A6" s="103"/>
      <c r="B6" s="104"/>
      <c r="C6" s="104"/>
      <c r="D6" s="104"/>
      <c r="E6" s="104"/>
      <c r="F6" s="105"/>
    </row>
    <row r="7" spans="1:6" s="28" customFormat="1" ht="18" customHeight="1">
      <c r="A7" s="106"/>
      <c r="B7" s="107"/>
      <c r="C7" s="107"/>
      <c r="D7" s="108"/>
      <c r="E7" s="107"/>
      <c r="F7" s="109"/>
    </row>
    <row r="8" spans="1:6" s="28" customFormat="1" ht="28.5" customHeight="1">
      <c r="A8" s="106"/>
      <c r="B8" s="46" t="s">
        <v>270</v>
      </c>
      <c r="C8" s="47" t="s">
        <v>308</v>
      </c>
      <c r="D8" s="47" t="s">
        <v>309</v>
      </c>
      <c r="E8" s="48" t="s">
        <v>310</v>
      </c>
      <c r="F8" s="109"/>
    </row>
    <row r="9" spans="1:6" s="28" customFormat="1" ht="51.75" customHeight="1">
      <c r="A9" s="106"/>
      <c r="B9" s="46"/>
      <c r="C9" s="47" t="s">
        <v>123</v>
      </c>
      <c r="D9" s="47"/>
      <c r="E9" s="48" t="s">
        <v>132</v>
      </c>
      <c r="F9" s="109"/>
    </row>
    <row r="10" spans="1:6" s="28" customFormat="1" ht="18" customHeight="1">
      <c r="A10" s="106"/>
      <c r="B10" s="114"/>
      <c r="C10" s="45"/>
      <c r="D10" s="45"/>
      <c r="E10" s="51"/>
      <c r="F10" s="109"/>
    </row>
    <row r="11" spans="1:6" s="28" customFormat="1" ht="18" customHeight="1">
      <c r="A11" s="106"/>
      <c r="B11" s="44" t="s">
        <v>307</v>
      </c>
      <c r="C11" s="44">
        <v>5.46</v>
      </c>
      <c r="D11" s="44">
        <v>85.5</v>
      </c>
      <c r="E11" s="49">
        <v>6.17</v>
      </c>
      <c r="F11" s="109"/>
    </row>
    <row r="12" spans="1:6" s="28" customFormat="1" ht="18" customHeight="1">
      <c r="A12" s="106"/>
      <c r="B12" s="44" t="s">
        <v>273</v>
      </c>
      <c r="C12" s="44">
        <v>5.67</v>
      </c>
      <c r="D12" s="44">
        <v>86.01</v>
      </c>
      <c r="E12" s="49">
        <v>6.76</v>
      </c>
      <c r="F12" s="109"/>
    </row>
    <row r="13" spans="1:6" s="28" customFormat="1" ht="18" customHeight="1">
      <c r="A13" s="106"/>
      <c r="B13" s="44" t="s">
        <v>311</v>
      </c>
      <c r="C13" s="44">
        <v>5.88</v>
      </c>
      <c r="D13" s="44">
        <v>86.6</v>
      </c>
      <c r="E13" s="49">
        <v>7.05</v>
      </c>
      <c r="F13" s="109"/>
    </row>
    <row r="14" spans="1:6" s="28" customFormat="1" ht="18" customHeight="1">
      <c r="A14" s="106"/>
      <c r="B14" s="44" t="s">
        <v>312</v>
      </c>
      <c r="C14" s="44">
        <v>5.88</v>
      </c>
      <c r="D14" s="44">
        <v>87.3</v>
      </c>
      <c r="E14" s="49">
        <v>7.05</v>
      </c>
      <c r="F14" s="109"/>
    </row>
    <row r="15" spans="1:6" s="28" customFormat="1" ht="18" customHeight="1">
      <c r="A15" s="106"/>
      <c r="B15" s="50" t="s">
        <v>296</v>
      </c>
      <c r="C15" s="44">
        <v>6.01</v>
      </c>
      <c r="D15" s="44">
        <v>86.4</v>
      </c>
      <c r="E15" s="49">
        <v>7.59</v>
      </c>
      <c r="F15" s="109"/>
    </row>
    <row r="16" spans="1:6" s="28" customFormat="1" ht="18" customHeight="1">
      <c r="A16" s="106"/>
      <c r="B16" s="50" t="s">
        <v>313</v>
      </c>
      <c r="C16" s="44">
        <v>6.3</v>
      </c>
      <c r="D16" s="44">
        <v>88.7</v>
      </c>
      <c r="E16" s="49">
        <v>7.93</v>
      </c>
      <c r="F16" s="109"/>
    </row>
    <row r="17" spans="1:6" s="28" customFormat="1" ht="18" customHeight="1">
      <c r="A17" s="106"/>
      <c r="B17" s="44" t="s">
        <v>314</v>
      </c>
      <c r="C17" s="44">
        <v>6.43</v>
      </c>
      <c r="D17" s="44">
        <v>88.3</v>
      </c>
      <c r="E17" s="49">
        <v>8.45</v>
      </c>
      <c r="F17" s="109"/>
    </row>
    <row r="18" spans="1:6" s="28" customFormat="1" ht="18" customHeight="1">
      <c r="A18" s="106"/>
      <c r="B18" s="44" t="s">
        <v>260</v>
      </c>
      <c r="C18" s="44">
        <v>3.95</v>
      </c>
      <c r="D18" s="44"/>
      <c r="E18" s="722" t="s">
        <v>133</v>
      </c>
      <c r="F18" s="109"/>
    </row>
    <row r="19" spans="1:6" s="28" customFormat="1" ht="18" customHeight="1">
      <c r="A19" s="106"/>
      <c r="B19" s="53" t="s">
        <v>261</v>
      </c>
      <c r="C19" s="141" t="s">
        <v>124</v>
      </c>
      <c r="D19" s="44">
        <v>80.6</v>
      </c>
      <c r="E19" s="747"/>
      <c r="F19" s="109"/>
    </row>
    <row r="20" spans="1:6" s="28" customFormat="1" ht="18" customHeight="1">
      <c r="A20" s="106"/>
      <c r="B20" s="53" t="s">
        <v>306</v>
      </c>
      <c r="C20" s="141" t="s">
        <v>125</v>
      </c>
      <c r="D20" s="44">
        <v>80.1</v>
      </c>
      <c r="E20" s="722"/>
      <c r="F20" s="109"/>
    </row>
    <row r="21" spans="1:6" s="28" customFormat="1" ht="18" customHeight="1">
      <c r="A21" s="106"/>
      <c r="B21" s="53" t="s">
        <v>294</v>
      </c>
      <c r="C21" s="141" t="s">
        <v>126</v>
      </c>
      <c r="D21" s="44"/>
      <c r="E21" s="722"/>
      <c r="F21" s="109"/>
    </row>
    <row r="22" spans="1:6" s="28" customFormat="1" ht="18" customHeight="1">
      <c r="A22" s="106"/>
      <c r="B22" s="53" t="s">
        <v>295</v>
      </c>
      <c r="C22" s="141" t="s">
        <v>127</v>
      </c>
      <c r="D22" s="44"/>
      <c r="E22" s="722"/>
      <c r="F22" s="109"/>
    </row>
    <row r="23" spans="1:6" s="28" customFormat="1" ht="18" customHeight="1">
      <c r="A23" s="106"/>
      <c r="B23" s="53" t="s">
        <v>305</v>
      </c>
      <c r="C23" s="44">
        <v>4.09</v>
      </c>
      <c r="D23" s="44">
        <v>83.6</v>
      </c>
      <c r="E23" s="722" t="s">
        <v>134</v>
      </c>
      <c r="F23" s="109"/>
    </row>
    <row r="24" spans="1:6" s="28" customFormat="1" ht="18" customHeight="1">
      <c r="A24" s="106"/>
      <c r="B24" s="53" t="s">
        <v>274</v>
      </c>
      <c r="C24" s="44">
        <v>3.8</v>
      </c>
      <c r="D24" s="44">
        <v>81.6</v>
      </c>
      <c r="E24" s="722" t="s">
        <v>135</v>
      </c>
      <c r="F24" s="109"/>
    </row>
    <row r="25" spans="1:6" s="28" customFormat="1" ht="18.75" customHeight="1">
      <c r="A25" s="106"/>
      <c r="B25" s="53" t="s">
        <v>316</v>
      </c>
      <c r="C25" s="141" t="s">
        <v>136</v>
      </c>
      <c r="D25" s="44">
        <v>85</v>
      </c>
      <c r="E25" s="722"/>
      <c r="F25" s="109"/>
    </row>
    <row r="26" spans="1:6" s="28" customFormat="1" ht="18.75" customHeight="1">
      <c r="A26" s="106"/>
      <c r="B26" s="53" t="s">
        <v>583</v>
      </c>
      <c r="C26" s="141" t="s">
        <v>684</v>
      </c>
      <c r="D26" s="44" t="s">
        <v>315</v>
      </c>
      <c r="E26" s="747" t="s">
        <v>694</v>
      </c>
      <c r="F26" s="109"/>
    </row>
    <row r="27" spans="1:6" s="28" customFormat="1" ht="19.5" customHeight="1">
      <c r="A27" s="106"/>
      <c r="B27" s="574" t="s">
        <v>584</v>
      </c>
      <c r="C27" s="142" t="s">
        <v>128</v>
      </c>
      <c r="D27" s="44"/>
      <c r="E27" s="722"/>
      <c r="F27" s="109"/>
    </row>
    <row r="28" spans="1:6" s="28" customFormat="1" ht="18" customHeight="1">
      <c r="A28" s="106"/>
      <c r="B28" s="574" t="s">
        <v>585</v>
      </c>
      <c r="C28" s="142" t="s">
        <v>129</v>
      </c>
      <c r="D28" s="44"/>
      <c r="E28" s="722"/>
      <c r="F28" s="109"/>
    </row>
    <row r="29" spans="1:6" s="28" customFormat="1" ht="21.75" customHeight="1">
      <c r="A29" s="106"/>
      <c r="B29" s="574" t="s">
        <v>586</v>
      </c>
      <c r="C29" s="142" t="s">
        <v>130</v>
      </c>
      <c r="D29" s="44"/>
      <c r="E29" s="722"/>
      <c r="F29" s="109"/>
    </row>
    <row r="30" spans="1:6" s="28" customFormat="1" ht="21" customHeight="1">
      <c r="A30" s="106"/>
      <c r="B30" s="574" t="s">
        <v>587</v>
      </c>
      <c r="C30" s="142" t="s">
        <v>131</v>
      </c>
      <c r="D30" s="44"/>
      <c r="E30" s="722"/>
      <c r="F30" s="109"/>
    </row>
    <row r="31" spans="1:6" s="28" customFormat="1" ht="18" customHeight="1">
      <c r="A31" s="106"/>
      <c r="B31" s="143"/>
      <c r="C31" s="144"/>
      <c r="D31" s="119"/>
      <c r="E31" s="119"/>
      <c r="F31" s="109"/>
    </row>
    <row r="32" spans="1:6" s="28" customFormat="1" ht="42" customHeight="1">
      <c r="A32" s="106"/>
      <c r="B32" s="1025" t="s">
        <v>137</v>
      </c>
      <c r="C32" s="1026"/>
      <c r="D32" s="1026"/>
      <c r="E32" s="1026"/>
      <c r="F32" s="109"/>
    </row>
    <row r="33" spans="1:6" s="28" customFormat="1" ht="18.75" customHeight="1">
      <c r="A33" s="106"/>
      <c r="B33" s="1025" t="s">
        <v>589</v>
      </c>
      <c r="C33" s="1026"/>
      <c r="D33" s="1026"/>
      <c r="E33" s="1026"/>
      <c r="F33" s="109"/>
    </row>
    <row r="34" spans="1:6" s="28" customFormat="1" ht="54" customHeight="1">
      <c r="A34" s="106"/>
      <c r="B34" s="1027" t="s">
        <v>588</v>
      </c>
      <c r="C34" s="1002"/>
      <c r="D34" s="1002"/>
      <c r="E34" s="1002"/>
      <c r="F34" s="109"/>
    </row>
    <row r="35" spans="1:6" s="28" customFormat="1" ht="38.25" customHeight="1">
      <c r="A35" s="106"/>
      <c r="B35" s="1028" t="s">
        <v>564</v>
      </c>
      <c r="C35" s="1029"/>
      <c r="D35" s="1029"/>
      <c r="E35" s="1029"/>
      <c r="F35" s="109"/>
    </row>
    <row r="36" spans="1:6" s="28" customFormat="1" ht="18.75" customHeight="1" thickBot="1">
      <c r="A36" s="111"/>
      <c r="B36" s="250"/>
      <c r="C36" s="250"/>
      <c r="D36" s="250"/>
      <c r="E36" s="250"/>
      <c r="F36" s="110"/>
    </row>
    <row r="37" spans="2:5" s="28" customFormat="1" ht="18" customHeight="1" thickTop="1">
      <c r="B37"/>
      <c r="C37"/>
      <c r="D37"/>
      <c r="E37"/>
    </row>
  </sheetData>
  <sheetProtection password="CD08" sheet="1" objects="1" scenarios="1"/>
  <mergeCells count="5">
    <mergeCell ref="A3:F3"/>
    <mergeCell ref="B32:E32"/>
    <mergeCell ref="B34:E34"/>
    <mergeCell ref="B35:E35"/>
    <mergeCell ref="B33:E33"/>
  </mergeCells>
  <printOptions/>
  <pageMargins left="0.75" right="0.75" top="1" bottom="1" header="0.5" footer="0.5"/>
  <pageSetup fitToHeight="1" fitToWidth="1" horizontalDpi="600" verticalDpi="600" orientation="portrait" scale="79" r:id="rId1"/>
</worksheet>
</file>

<file path=xl/worksheets/sheet13.xml><?xml version="1.0" encoding="utf-8"?>
<worksheet xmlns="http://schemas.openxmlformats.org/spreadsheetml/2006/main" xmlns:r="http://schemas.openxmlformats.org/officeDocument/2006/relationships">
  <sheetPr>
    <pageSetUpPr fitToPage="1"/>
  </sheetPr>
  <dimension ref="A1:G45"/>
  <sheetViews>
    <sheetView zoomScale="75" zoomScaleNormal="75" zoomScalePageLayoutView="0" workbookViewId="0" topLeftCell="A1">
      <selection activeCell="A1" sqref="A1"/>
    </sheetView>
  </sheetViews>
  <sheetFormatPr defaultColWidth="9.7109375" defaultRowHeight="12.75"/>
  <cols>
    <col min="1" max="1" width="9.140625" style="4" customWidth="1"/>
    <col min="2" max="2" width="7.8515625" style="4" customWidth="1"/>
    <col min="3" max="3" width="30.00390625" style="4" customWidth="1"/>
    <col min="4" max="4" width="37.28125" style="62" customWidth="1"/>
    <col min="5" max="5" width="31.57421875" style="62" customWidth="1"/>
    <col min="6" max="6" width="41.00390625" style="62" customWidth="1"/>
    <col min="7" max="7" width="14.421875" style="4" customWidth="1"/>
    <col min="8" max="8" width="14.7109375" style="4" customWidth="1"/>
    <col min="9" max="16384" width="9.7109375" style="4" customWidth="1"/>
  </cols>
  <sheetData>
    <row r="1" ht="15">
      <c r="A1" s="459" t="s">
        <v>440</v>
      </c>
    </row>
    <row r="2" spans="1:5" ht="15">
      <c r="A2" s="773" t="s">
        <v>567</v>
      </c>
      <c r="B2" s="1"/>
      <c r="C2" s="1"/>
      <c r="D2" s="60"/>
      <c r="E2" s="60"/>
    </row>
    <row r="3" spans="4:6" s="15" customFormat="1" ht="18" customHeight="1">
      <c r="D3" s="59"/>
      <c r="E3" s="59"/>
      <c r="F3" s="59"/>
    </row>
    <row r="4" spans="1:6" s="15" customFormat="1" ht="18" customHeight="1">
      <c r="A4" s="38" t="s">
        <v>267</v>
      </c>
      <c r="D4" s="59"/>
      <c r="E4" s="59"/>
      <c r="F4" s="59"/>
    </row>
    <row r="5" spans="1:6" s="15" customFormat="1" ht="18" customHeight="1">
      <c r="A5" s="248" t="s">
        <v>293</v>
      </c>
      <c r="D5" s="59"/>
      <c r="E5" s="59"/>
      <c r="F5" s="59"/>
    </row>
    <row r="6" spans="2:6" s="1" customFormat="1" ht="18" customHeight="1" thickBot="1">
      <c r="B6" s="2"/>
      <c r="D6" s="60"/>
      <c r="E6" s="60"/>
      <c r="F6" s="60"/>
    </row>
    <row r="7" spans="2:7" s="1" customFormat="1" ht="19.5" customHeight="1" thickTop="1">
      <c r="B7" s="54"/>
      <c r="C7" s="55"/>
      <c r="D7" s="99"/>
      <c r="E7" s="99"/>
      <c r="F7" s="99"/>
      <c r="G7" s="56"/>
    </row>
    <row r="8" spans="2:7" s="27" customFormat="1" ht="19.5" customHeight="1">
      <c r="B8" s="92"/>
      <c r="C8" s="52" t="s">
        <v>318</v>
      </c>
      <c r="D8" s="61"/>
      <c r="E8" s="61"/>
      <c r="F8" s="61"/>
      <c r="G8" s="96"/>
    </row>
    <row r="9" spans="2:7" s="27" customFormat="1" ht="19.5" customHeight="1">
      <c r="B9" s="92"/>
      <c r="C9" s="29" t="s">
        <v>319</v>
      </c>
      <c r="D9" s="30" t="s">
        <v>320</v>
      </c>
      <c r="E9" s="30" t="s">
        <v>401</v>
      </c>
      <c r="F9" s="30" t="s">
        <v>152</v>
      </c>
      <c r="G9" s="96"/>
    </row>
    <row r="10" spans="2:7" s="27" customFormat="1" ht="19.5" customHeight="1">
      <c r="B10" s="92"/>
      <c r="C10" s="29" t="s">
        <v>317</v>
      </c>
      <c r="D10" s="30" t="s">
        <v>321</v>
      </c>
      <c r="E10" s="30"/>
      <c r="F10" s="30"/>
      <c r="G10" s="96"/>
    </row>
    <row r="11" spans="2:7" s="27" customFormat="1" ht="19.5" customHeight="1">
      <c r="B11" s="92"/>
      <c r="C11" s="29" t="s">
        <v>322</v>
      </c>
      <c r="D11" s="30" t="s">
        <v>372</v>
      </c>
      <c r="E11" s="30" t="s">
        <v>323</v>
      </c>
      <c r="F11" s="30"/>
      <c r="G11" s="96"/>
    </row>
    <row r="12" spans="2:7" s="27" customFormat="1" ht="19.5" customHeight="1">
      <c r="B12" s="92"/>
      <c r="C12" s="29" t="s">
        <v>151</v>
      </c>
      <c r="D12" s="30" t="s">
        <v>373</v>
      </c>
      <c r="E12" s="30" t="s">
        <v>374</v>
      </c>
      <c r="F12" s="30" t="s">
        <v>335</v>
      </c>
      <c r="G12" s="96"/>
    </row>
    <row r="13" spans="2:7" s="27" customFormat="1" ht="19.5" customHeight="1">
      <c r="B13" s="92"/>
      <c r="C13" s="29"/>
      <c r="D13" s="30"/>
      <c r="E13" s="30"/>
      <c r="F13" s="30"/>
      <c r="G13" s="96"/>
    </row>
    <row r="14" spans="2:7" s="27" customFormat="1" ht="19.5" customHeight="1">
      <c r="B14" s="92"/>
      <c r="C14" s="52" t="s">
        <v>324</v>
      </c>
      <c r="D14" s="30"/>
      <c r="E14" s="30"/>
      <c r="F14" s="30"/>
      <c r="G14" s="96"/>
    </row>
    <row r="15" spans="2:7" s="27" customFormat="1" ht="19.5" customHeight="1">
      <c r="B15" s="92"/>
      <c r="C15" s="29" t="s">
        <v>387</v>
      </c>
      <c r="D15" s="30" t="s">
        <v>325</v>
      </c>
      <c r="E15" s="30" t="s">
        <v>326</v>
      </c>
      <c r="F15" s="30"/>
      <c r="G15" s="96"/>
    </row>
    <row r="16" spans="2:7" s="27" customFormat="1" ht="19.5" customHeight="1">
      <c r="B16" s="92"/>
      <c r="C16" s="29" t="s">
        <v>387</v>
      </c>
      <c r="D16" s="30" t="s">
        <v>327</v>
      </c>
      <c r="E16" s="30" t="s">
        <v>390</v>
      </c>
      <c r="F16" s="30"/>
      <c r="G16" s="96"/>
    </row>
    <row r="17" spans="2:7" s="27" customFormat="1" ht="19.5" customHeight="1">
      <c r="B17" s="92"/>
      <c r="C17" s="29" t="s">
        <v>537</v>
      </c>
      <c r="D17" s="64" t="s">
        <v>329</v>
      </c>
      <c r="E17" s="30" t="s">
        <v>328</v>
      </c>
      <c r="F17" s="30" t="s">
        <v>392</v>
      </c>
      <c r="G17" s="96"/>
    </row>
    <row r="18" spans="2:7" s="27" customFormat="1" ht="19.5" customHeight="1">
      <c r="B18" s="92"/>
      <c r="C18" s="29" t="s">
        <v>330</v>
      </c>
      <c r="D18" s="30" t="s">
        <v>331</v>
      </c>
      <c r="E18" s="30" t="s">
        <v>336</v>
      </c>
      <c r="F18" s="30" t="s">
        <v>391</v>
      </c>
      <c r="G18" s="96"/>
    </row>
    <row r="19" spans="2:7" s="27" customFormat="1" ht="19.5" customHeight="1">
      <c r="B19" s="92"/>
      <c r="C19" s="29" t="s">
        <v>337</v>
      </c>
      <c r="D19" s="30" t="s">
        <v>389</v>
      </c>
      <c r="E19" s="30" t="s">
        <v>338</v>
      </c>
      <c r="F19" s="30"/>
      <c r="G19" s="96"/>
    </row>
    <row r="20" spans="2:7" s="27" customFormat="1" ht="19.5" customHeight="1">
      <c r="B20" s="92"/>
      <c r="C20" s="29" t="s">
        <v>388</v>
      </c>
      <c r="D20" s="30" t="s">
        <v>339</v>
      </c>
      <c r="E20" s="30" t="s">
        <v>340</v>
      </c>
      <c r="F20" s="30" t="s">
        <v>375</v>
      </c>
      <c r="G20" s="96"/>
    </row>
    <row r="21" spans="2:7" s="27" customFormat="1" ht="19.5" customHeight="1">
      <c r="B21" s="92"/>
      <c r="C21" s="29"/>
      <c r="D21" s="30"/>
      <c r="E21" s="30"/>
      <c r="F21" s="30"/>
      <c r="G21" s="96"/>
    </row>
    <row r="22" spans="2:7" s="27" customFormat="1" ht="19.5" customHeight="1">
      <c r="B22" s="92"/>
      <c r="C22" s="52" t="s">
        <v>266</v>
      </c>
      <c r="D22" s="30"/>
      <c r="E22" s="30"/>
      <c r="F22" s="30"/>
      <c r="G22" s="96"/>
    </row>
    <row r="23" spans="2:7" s="27" customFormat="1" ht="19.5" customHeight="1">
      <c r="B23" s="92"/>
      <c r="C23" s="29" t="s">
        <v>341</v>
      </c>
      <c r="D23" s="30" t="s">
        <v>342</v>
      </c>
      <c r="E23" s="30" t="s">
        <v>376</v>
      </c>
      <c r="F23" s="30"/>
      <c r="G23" s="96"/>
    </row>
    <row r="24" spans="2:7" s="27" customFormat="1" ht="19.5" customHeight="1">
      <c r="B24" s="92"/>
      <c r="C24" s="29" t="s">
        <v>348</v>
      </c>
      <c r="D24" s="30" t="s">
        <v>349</v>
      </c>
      <c r="E24" s="30"/>
      <c r="F24" s="30"/>
      <c r="G24" s="96"/>
    </row>
    <row r="25" spans="2:7" s="27" customFormat="1" ht="19.5" customHeight="1">
      <c r="B25" s="92"/>
      <c r="C25" s="29" t="s">
        <v>343</v>
      </c>
      <c r="D25" s="30" t="s">
        <v>350</v>
      </c>
      <c r="E25" s="30" t="s">
        <v>351</v>
      </c>
      <c r="F25" s="30"/>
      <c r="G25" s="96"/>
    </row>
    <row r="26" spans="2:7" s="27" customFormat="1" ht="19.5" customHeight="1">
      <c r="B26" s="92"/>
      <c r="C26" s="29" t="s">
        <v>346</v>
      </c>
      <c r="D26" s="30" t="s">
        <v>377</v>
      </c>
      <c r="E26" s="30"/>
      <c r="F26" s="30"/>
      <c r="G26" s="96"/>
    </row>
    <row r="27" spans="2:7" s="27" customFormat="1" ht="19.5" customHeight="1">
      <c r="B27" s="92"/>
      <c r="C27" s="29" t="s">
        <v>347</v>
      </c>
      <c r="D27" s="30" t="s">
        <v>344</v>
      </c>
      <c r="E27" s="30" t="s">
        <v>345</v>
      </c>
      <c r="F27" s="30"/>
      <c r="G27" s="96"/>
    </row>
    <row r="28" spans="2:7" s="27" customFormat="1" ht="19.5" customHeight="1">
      <c r="B28" s="92"/>
      <c r="C28" s="29" t="s">
        <v>354</v>
      </c>
      <c r="D28" s="30" t="s">
        <v>378</v>
      </c>
      <c r="E28" s="30" t="s">
        <v>355</v>
      </c>
      <c r="F28" s="30" t="s">
        <v>356</v>
      </c>
      <c r="G28" s="96"/>
    </row>
    <row r="29" spans="2:7" s="27" customFormat="1" ht="19.5" customHeight="1">
      <c r="B29" s="92"/>
      <c r="C29" s="29"/>
      <c r="D29" s="30"/>
      <c r="E29" s="30"/>
      <c r="F29" s="30"/>
      <c r="G29" s="96"/>
    </row>
    <row r="30" spans="2:7" s="27" customFormat="1" ht="19.5" customHeight="1">
      <c r="B30" s="92"/>
      <c r="C30" s="52" t="s">
        <v>352</v>
      </c>
      <c r="D30" s="30"/>
      <c r="E30" s="30"/>
      <c r="F30" s="30"/>
      <c r="G30" s="96"/>
    </row>
    <row r="31" spans="2:7" s="27" customFormat="1" ht="19.5" customHeight="1">
      <c r="B31" s="92"/>
      <c r="C31" s="29" t="s">
        <v>364</v>
      </c>
      <c r="D31" s="30" t="s">
        <v>379</v>
      </c>
      <c r="E31" s="30"/>
      <c r="F31" s="30"/>
      <c r="G31" s="96"/>
    </row>
    <row r="32" spans="2:7" s="27" customFormat="1" ht="19.5" customHeight="1">
      <c r="B32" s="92"/>
      <c r="C32" s="29" t="s">
        <v>365</v>
      </c>
      <c r="D32" s="30" t="s">
        <v>380</v>
      </c>
      <c r="E32" s="30"/>
      <c r="F32" s="30"/>
      <c r="G32" s="96"/>
    </row>
    <row r="33" spans="2:7" s="27" customFormat="1" ht="19.5" customHeight="1">
      <c r="B33" s="92"/>
      <c r="C33" s="29" t="s">
        <v>366</v>
      </c>
      <c r="D33" s="30" t="s">
        <v>381</v>
      </c>
      <c r="E33" s="30"/>
      <c r="F33" s="30"/>
      <c r="G33" s="96"/>
    </row>
    <row r="34" spans="2:7" s="27" customFormat="1" ht="19.5" customHeight="1">
      <c r="B34" s="92"/>
      <c r="C34" s="29" t="s">
        <v>367</v>
      </c>
      <c r="D34" s="30" t="s">
        <v>382</v>
      </c>
      <c r="E34" s="30"/>
      <c r="F34" s="30"/>
      <c r="G34" s="96"/>
    </row>
    <row r="35" spans="2:7" s="27" customFormat="1" ht="19.5" customHeight="1">
      <c r="B35" s="92"/>
      <c r="C35" s="29" t="s">
        <v>363</v>
      </c>
      <c r="D35" s="30" t="s">
        <v>159</v>
      </c>
      <c r="E35" s="30"/>
      <c r="F35" s="30"/>
      <c r="G35" s="96"/>
    </row>
    <row r="36" spans="2:7" s="27" customFormat="1" ht="19.5" customHeight="1">
      <c r="B36" s="92"/>
      <c r="C36" s="29" t="s">
        <v>362</v>
      </c>
      <c r="D36" s="30" t="s">
        <v>160</v>
      </c>
      <c r="E36" s="30"/>
      <c r="F36" s="30"/>
      <c r="G36" s="96"/>
    </row>
    <row r="37" spans="2:7" s="27" customFormat="1" ht="19.5" customHeight="1">
      <c r="B37" s="92"/>
      <c r="C37" s="29" t="s">
        <v>359</v>
      </c>
      <c r="D37" s="30" t="s">
        <v>161</v>
      </c>
      <c r="E37" s="30" t="s">
        <v>361</v>
      </c>
      <c r="F37" s="30" t="s">
        <v>360</v>
      </c>
      <c r="G37" s="96"/>
    </row>
    <row r="38" spans="2:7" s="27" customFormat="1" ht="19.5" customHeight="1">
      <c r="B38" s="92"/>
      <c r="C38" s="29" t="s">
        <v>357</v>
      </c>
      <c r="D38" s="30" t="s">
        <v>358</v>
      </c>
      <c r="E38" s="30"/>
      <c r="F38" s="30"/>
      <c r="G38" s="96"/>
    </row>
    <row r="39" spans="2:7" s="27" customFormat="1" ht="19.5" customHeight="1">
      <c r="B39" s="92"/>
      <c r="C39" s="29" t="s">
        <v>153</v>
      </c>
      <c r="D39" s="30" t="s">
        <v>156</v>
      </c>
      <c r="E39" s="30"/>
      <c r="F39" s="30"/>
      <c r="G39" s="96"/>
    </row>
    <row r="40" spans="2:7" s="27" customFormat="1" ht="19.5" customHeight="1">
      <c r="B40" s="92"/>
      <c r="C40" s="29" t="s">
        <v>154</v>
      </c>
      <c r="D40" s="30" t="s">
        <v>157</v>
      </c>
      <c r="E40" s="30"/>
      <c r="F40" s="30"/>
      <c r="G40" s="96"/>
    </row>
    <row r="41" spans="2:7" s="27" customFormat="1" ht="19.5" customHeight="1">
      <c r="B41" s="92"/>
      <c r="C41" s="29" t="s">
        <v>155</v>
      </c>
      <c r="D41" s="30" t="s">
        <v>158</v>
      </c>
      <c r="E41" s="30"/>
      <c r="F41" s="30"/>
      <c r="G41" s="96"/>
    </row>
    <row r="42" spans="2:7" s="27" customFormat="1" ht="19.5" customHeight="1">
      <c r="B42" s="92"/>
      <c r="C42" s="94"/>
      <c r="D42" s="95"/>
      <c r="E42" s="95"/>
      <c r="F42" s="95"/>
      <c r="G42" s="96"/>
    </row>
    <row r="43" spans="2:7" s="27" customFormat="1" ht="19.5" customHeight="1">
      <c r="B43" s="92"/>
      <c r="C43" s="101"/>
      <c r="D43" s="101"/>
      <c r="E43" s="101"/>
      <c r="F43" s="101"/>
      <c r="G43" s="96"/>
    </row>
    <row r="44" spans="2:7" s="27" customFormat="1" ht="19.5" customHeight="1">
      <c r="B44" s="92"/>
      <c r="C44" s="100"/>
      <c r="D44" s="146"/>
      <c r="E44" s="101"/>
      <c r="F44" s="101"/>
      <c r="G44" s="96"/>
    </row>
    <row r="45" spans="2:7" ht="19.5" customHeight="1" thickBot="1">
      <c r="B45" s="80"/>
      <c r="C45" s="81"/>
      <c r="D45" s="102"/>
      <c r="E45" s="102"/>
      <c r="F45" s="102"/>
      <c r="G45" s="77"/>
    </row>
    <row r="46" ht="13.5" thickTop="1"/>
    <row r="67" ht="17.25" customHeight="1"/>
    <row r="68" ht="17.25" customHeight="1"/>
    <row r="69" ht="17.25" customHeight="1"/>
    <row r="70" ht="17.25" customHeight="1"/>
    <row r="71" ht="17.25" customHeight="1"/>
  </sheetData>
  <sheetProtection password="CD08" sheet="1" objects="1" scenarios="1"/>
  <printOptions/>
  <pageMargins left="0.75" right="0.75" top="1" bottom="1" header="0.5" footer="0.5"/>
  <pageSetup fitToHeight="1" fitToWidth="1" horizontalDpi="600" verticalDpi="600" orientation="portrait" scale="53" r:id="rId1"/>
</worksheet>
</file>

<file path=xl/worksheets/sheet14.xml><?xml version="1.0" encoding="utf-8"?>
<worksheet xmlns="http://schemas.openxmlformats.org/spreadsheetml/2006/main" xmlns:r="http://schemas.openxmlformats.org/officeDocument/2006/relationships">
  <sheetPr>
    <pageSetUpPr fitToPage="1"/>
  </sheetPr>
  <dimension ref="A1:R39"/>
  <sheetViews>
    <sheetView zoomScale="75" zoomScaleNormal="75" zoomScalePageLayoutView="0" workbookViewId="0" topLeftCell="A1">
      <selection activeCell="A1" sqref="A1"/>
    </sheetView>
  </sheetViews>
  <sheetFormatPr defaultColWidth="9.140625" defaultRowHeight="12.75"/>
  <cols>
    <col min="1" max="1" width="4.57421875" style="0" customWidth="1"/>
    <col min="2" max="2" width="5.8515625" style="0" customWidth="1"/>
    <col min="3" max="3" width="33.7109375" style="0" customWidth="1"/>
    <col min="4" max="4" width="24.140625" style="0" customWidth="1"/>
    <col min="5" max="5" width="16.421875" style="0" customWidth="1"/>
    <col min="6" max="6" width="16.7109375" style="0" customWidth="1"/>
    <col min="7" max="7" width="22.421875" style="0" customWidth="1"/>
    <col min="8" max="8" width="23.57421875" style="0" customWidth="1"/>
    <col min="9" max="9" width="23.28125" style="0" customWidth="1"/>
    <col min="10" max="10" width="18.8515625" style="0" customWidth="1"/>
    <col min="11" max="11" width="13.421875" style="0" customWidth="1"/>
  </cols>
  <sheetData>
    <row r="1" spans="2:13" s="4" customFormat="1" ht="21.75" customHeight="1">
      <c r="B1" s="998"/>
      <c r="C1" s="999"/>
      <c r="D1" s="999"/>
      <c r="E1" s="999"/>
      <c r="F1" s="999"/>
      <c r="G1" s="999"/>
      <c r="H1" s="1000"/>
      <c r="I1" s="1000"/>
      <c r="J1" s="1001"/>
      <c r="K1" s="1002"/>
      <c r="L1" s="1002"/>
      <c r="M1" s="1002"/>
    </row>
    <row r="2" spans="5:7" s="4" customFormat="1" ht="6.75" customHeight="1" thickBot="1">
      <c r="E2" s="147"/>
      <c r="F2" s="147"/>
      <c r="G2" s="147"/>
    </row>
    <row r="3" spans="2:7" s="4" customFormat="1" ht="24" customHeight="1" thickTop="1">
      <c r="B3" s="542"/>
      <c r="C3" s="543" t="s">
        <v>424</v>
      </c>
      <c r="D3" s="544"/>
      <c r="E3" s="545"/>
      <c r="F3" s="545"/>
      <c r="G3" s="546"/>
    </row>
    <row r="4" spans="2:7" s="4" customFormat="1" ht="18" customHeight="1" thickBot="1">
      <c r="B4" s="547"/>
      <c r="C4" s="548" t="s">
        <v>423</v>
      </c>
      <c r="D4" s="549"/>
      <c r="E4" s="549"/>
      <c r="F4" s="549"/>
      <c r="G4" s="550"/>
    </row>
    <row r="5" spans="2:10" s="4" customFormat="1" ht="116.25" customHeight="1" thickTop="1">
      <c r="B5" s="1030" t="s">
        <v>420</v>
      </c>
      <c r="C5" s="1031"/>
      <c r="D5" s="1031"/>
      <c r="E5" s="1031"/>
      <c r="F5" s="1031"/>
      <c r="G5" s="1032"/>
      <c r="H5" s="485"/>
      <c r="I5" s="485"/>
      <c r="J5" s="485"/>
    </row>
    <row r="6" spans="2:10" s="4" customFormat="1" ht="15" customHeight="1">
      <c r="B6" s="487"/>
      <c r="C6" s="486"/>
      <c r="D6" s="486"/>
      <c r="E6" s="486"/>
      <c r="F6" s="486"/>
      <c r="G6" s="488"/>
      <c r="H6" s="485"/>
      <c r="I6" s="485"/>
      <c r="J6" s="485"/>
    </row>
    <row r="7" spans="2:10" s="4" customFormat="1" ht="74.25" customHeight="1">
      <c r="B7" s="1033" t="s">
        <v>421</v>
      </c>
      <c r="C7" s="1034"/>
      <c r="D7" s="1034"/>
      <c r="E7" s="1034"/>
      <c r="F7" s="1034"/>
      <c r="G7" s="1035"/>
      <c r="H7" s="485"/>
      <c r="I7" s="485"/>
      <c r="J7" s="485"/>
    </row>
    <row r="8" spans="2:7" s="4" customFormat="1" ht="18" customHeight="1">
      <c r="B8" s="489"/>
      <c r="C8" s="1"/>
      <c r="D8" s="1"/>
      <c r="E8" s="1"/>
      <c r="F8" s="1"/>
      <c r="G8" s="490"/>
    </row>
    <row r="9" spans="2:10" s="4" customFormat="1" ht="174" customHeight="1" thickBot="1">
      <c r="B9" s="1036" t="s">
        <v>422</v>
      </c>
      <c r="C9" s="1037"/>
      <c r="D9" s="1037"/>
      <c r="E9" s="1037"/>
      <c r="F9" s="1037"/>
      <c r="G9" s="1038"/>
      <c r="H9" s="485"/>
      <c r="I9" s="485"/>
      <c r="J9" s="485"/>
    </row>
    <row r="10" s="4" customFormat="1" ht="18" customHeight="1" thickTop="1"/>
    <row r="11" spans="1:7" s="4" customFormat="1" ht="18" customHeight="1" thickBot="1">
      <c r="A11"/>
      <c r="C11" s="38"/>
      <c r="D11" s="38"/>
      <c r="E11" s="147"/>
      <c r="F11" s="147"/>
      <c r="G11" s="147"/>
    </row>
    <row r="12" spans="1:7" s="4" customFormat="1" ht="27" customHeight="1" thickTop="1">
      <c r="A12"/>
      <c r="B12" s="467" t="s">
        <v>177</v>
      </c>
      <c r="C12" s="458"/>
      <c r="D12" s="458"/>
      <c r="E12" s="464"/>
      <c r="F12" s="147"/>
      <c r="G12" s="147"/>
    </row>
    <row r="13" spans="1:7" s="4" customFormat="1" ht="18" customHeight="1">
      <c r="A13"/>
      <c r="B13" s="927" t="s">
        <v>403</v>
      </c>
      <c r="C13" s="928"/>
      <c r="D13" s="159"/>
      <c r="E13" s="465"/>
      <c r="F13" s="147"/>
      <c r="G13" s="147"/>
    </row>
    <row r="14" spans="1:7" s="4" customFormat="1" ht="18" customHeight="1">
      <c r="A14"/>
      <c r="B14" s="927" t="s">
        <v>254</v>
      </c>
      <c r="C14" s="928"/>
      <c r="D14" s="160"/>
      <c r="E14" s="469"/>
      <c r="F14" s="147"/>
      <c r="G14" s="147"/>
    </row>
    <row r="15" spans="1:7" s="4" customFormat="1" ht="18" customHeight="1">
      <c r="A15"/>
      <c r="B15" s="927" t="s">
        <v>464</v>
      </c>
      <c r="C15" s="928"/>
      <c r="D15" s="161"/>
      <c r="E15" s="465"/>
      <c r="F15" s="147"/>
      <c r="G15" s="147"/>
    </row>
    <row r="16" spans="1:7" s="4" customFormat="1" ht="18" customHeight="1">
      <c r="A16"/>
      <c r="B16" s="927" t="s">
        <v>255</v>
      </c>
      <c r="C16" s="928"/>
      <c r="D16" s="162"/>
      <c r="E16" s="465"/>
      <c r="F16" s="147"/>
      <c r="G16" s="147"/>
    </row>
    <row r="17" spans="1:18" s="4" customFormat="1" ht="18" customHeight="1" thickBot="1">
      <c r="A17"/>
      <c r="B17" s="468"/>
      <c r="C17" s="436"/>
      <c r="D17" s="436"/>
      <c r="E17" s="470"/>
      <c r="F17" s="158"/>
      <c r="G17" s="166"/>
      <c r="H17" s="1"/>
      <c r="I17" s="1"/>
      <c r="J17" s="1"/>
      <c r="K17" s="1"/>
      <c r="L17" s="1"/>
      <c r="M17" s="1"/>
      <c r="N17" s="1"/>
      <c r="O17" s="1"/>
      <c r="P17" s="1"/>
      <c r="Q17" s="1"/>
      <c r="R17" s="1"/>
    </row>
    <row r="18" ht="17.25" customHeight="1" thickTop="1"/>
    <row r="19" ht="13.5" thickBot="1"/>
    <row r="20" spans="2:16" s="4" customFormat="1" ht="34.5" customHeight="1" thickTop="1">
      <c r="B20" s="54"/>
      <c r="C20" s="453" t="s">
        <v>425</v>
      </c>
      <c r="D20" s="149"/>
      <c r="E20" s="149"/>
      <c r="F20" s="149"/>
      <c r="G20" s="55"/>
      <c r="H20" s="55"/>
      <c r="I20" s="55"/>
      <c r="J20" s="55"/>
      <c r="K20" s="55"/>
      <c r="L20" s="55"/>
      <c r="M20" s="55"/>
      <c r="N20" s="56"/>
      <c r="O20" s="1"/>
      <c r="P20" s="1"/>
    </row>
    <row r="21" spans="2:16" s="4" customFormat="1" ht="18" customHeight="1">
      <c r="B21" s="57"/>
      <c r="C21" s="65"/>
      <c r="D21" s="150"/>
      <c r="E21" s="919" t="s">
        <v>353</v>
      </c>
      <c r="F21" s="1004"/>
      <c r="G21" s="919" t="s">
        <v>368</v>
      </c>
      <c r="H21" s="1004"/>
      <c r="I21" s="919" t="s">
        <v>369</v>
      </c>
      <c r="J21" s="1004"/>
      <c r="K21" s="446"/>
      <c r="L21" s="65"/>
      <c r="M21" s="65"/>
      <c r="N21" s="58"/>
      <c r="O21" s="1"/>
      <c r="P21" s="1"/>
    </row>
    <row r="22" spans="2:16" s="4" customFormat="1" ht="18" customHeight="1">
      <c r="B22" s="57"/>
      <c r="C22" s="65"/>
      <c r="D22" s="150"/>
      <c r="E22" s="163" t="s">
        <v>256</v>
      </c>
      <c r="F22" s="163" t="s">
        <v>257</v>
      </c>
      <c r="G22" s="3" t="s">
        <v>396</v>
      </c>
      <c r="H22" s="126" t="s">
        <v>258</v>
      </c>
      <c r="I22" s="127" t="s">
        <v>259</v>
      </c>
      <c r="J22" s="128" t="s">
        <v>262</v>
      </c>
      <c r="K22" s="513"/>
      <c r="L22" s="65"/>
      <c r="M22" s="65"/>
      <c r="N22" s="58"/>
      <c r="O22" s="1"/>
      <c r="P22" s="1"/>
    </row>
    <row r="23" spans="2:16" s="4" customFormat="1" ht="84.75" customHeight="1">
      <c r="B23" s="67"/>
      <c r="C23" s="134"/>
      <c r="D23" s="151"/>
      <c r="E23" s="164" t="s">
        <v>397</v>
      </c>
      <c r="F23" s="164" t="s">
        <v>662</v>
      </c>
      <c r="G23" s="331" t="s">
        <v>139</v>
      </c>
      <c r="H23" s="5" t="s">
        <v>214</v>
      </c>
      <c r="I23" s="331" t="s">
        <v>141</v>
      </c>
      <c r="J23" s="332" t="s">
        <v>426</v>
      </c>
      <c r="K23" s="447"/>
      <c r="L23" s="65"/>
      <c r="M23" s="65"/>
      <c r="N23" s="58"/>
      <c r="O23" s="1"/>
      <c r="P23" s="1"/>
    </row>
    <row r="24" spans="2:16" s="4" customFormat="1" ht="18" customHeight="1">
      <c r="B24" s="57"/>
      <c r="C24" s="65"/>
      <c r="D24" s="150"/>
      <c r="E24" s="165"/>
      <c r="F24" s="165"/>
      <c r="G24" s="6"/>
      <c r="H24" s="6"/>
      <c r="I24" s="8" t="s">
        <v>576</v>
      </c>
      <c r="J24" s="135" t="s">
        <v>436</v>
      </c>
      <c r="K24" s="447"/>
      <c r="L24" s="65"/>
      <c r="M24" s="65"/>
      <c r="N24" s="58"/>
      <c r="O24" s="1"/>
      <c r="P24" s="1"/>
    </row>
    <row r="25" spans="2:16" s="4" customFormat="1" ht="12.75">
      <c r="B25" s="57"/>
      <c r="C25" s="242" t="s">
        <v>491</v>
      </c>
      <c r="D25" s="243" t="s">
        <v>492</v>
      </c>
      <c r="E25" s="553">
        <v>500000</v>
      </c>
      <c r="F25" s="84" t="s">
        <v>138</v>
      </c>
      <c r="G25" s="575">
        <v>240</v>
      </c>
      <c r="H25" s="333" t="s">
        <v>140</v>
      </c>
      <c r="I25" s="136">
        <f>E25*G25</f>
        <v>120000000</v>
      </c>
      <c r="J25" s="188">
        <f>I25/2205</f>
        <v>54421.768707482996</v>
      </c>
      <c r="K25" s="514"/>
      <c r="L25" s="65"/>
      <c r="M25" s="65"/>
      <c r="N25" s="58"/>
      <c r="O25" s="1"/>
      <c r="P25" s="1"/>
    </row>
    <row r="26" spans="2:16" s="4" customFormat="1" ht="18" customHeight="1">
      <c r="B26" s="82"/>
      <c r="C26" s="41" t="s">
        <v>272</v>
      </c>
      <c r="D26" s="153" t="s">
        <v>270</v>
      </c>
      <c r="E26" s="12"/>
      <c r="F26" s="12"/>
      <c r="G26" s="11"/>
      <c r="H26" s="36"/>
      <c r="I26" s="137"/>
      <c r="J26" s="12"/>
      <c r="K26" s="515"/>
      <c r="L26" s="65"/>
      <c r="M26" s="65"/>
      <c r="N26" s="58"/>
      <c r="O26" s="1"/>
      <c r="P26" s="1"/>
    </row>
    <row r="27" spans="2:16" s="4" customFormat="1" ht="18" customHeight="1">
      <c r="B27" s="57"/>
      <c r="C27" s="679"/>
      <c r="D27" s="680"/>
      <c r="E27" s="653"/>
      <c r="F27" s="654"/>
      <c r="G27" s="655"/>
      <c r="H27" s="678"/>
      <c r="I27" s="138">
        <f>IF(E27="","",E27*G27)</f>
      </c>
      <c r="J27" s="138">
        <f>IF(ISERROR(I27/2205),"",I27/2205)</f>
      </c>
      <c r="K27" s="253"/>
      <c r="L27" s="65"/>
      <c r="M27" s="65"/>
      <c r="N27" s="58"/>
      <c r="O27" s="1"/>
      <c r="P27" s="1"/>
    </row>
    <row r="28" spans="2:16" s="4" customFormat="1" ht="18" customHeight="1">
      <c r="B28" s="57"/>
      <c r="C28" s="679"/>
      <c r="D28" s="680"/>
      <c r="E28" s="653"/>
      <c r="F28" s="654"/>
      <c r="G28" s="655"/>
      <c r="H28" s="678"/>
      <c r="I28" s="138">
        <f aca="true" t="shared" si="0" ref="I28:I33">IF(E28="","",E28*G28)</f>
      </c>
      <c r="J28" s="138">
        <f aca="true" t="shared" si="1" ref="J28:J33">IF(ISERROR(I28/2205),"",I28/2205)</f>
      </c>
      <c r="K28" s="253"/>
      <c r="L28" s="65"/>
      <c r="M28" s="65"/>
      <c r="N28" s="58"/>
      <c r="O28" s="1"/>
      <c r="P28" s="1"/>
    </row>
    <row r="29" spans="2:16" s="4" customFormat="1" ht="18" customHeight="1">
      <c r="B29" s="57"/>
      <c r="C29" s="679"/>
      <c r="D29" s="680"/>
      <c r="E29" s="653"/>
      <c r="F29" s="654"/>
      <c r="G29" s="655"/>
      <c r="H29" s="678"/>
      <c r="I29" s="138">
        <f t="shared" si="0"/>
      </c>
      <c r="J29" s="138">
        <f t="shared" si="1"/>
      </c>
      <c r="K29" s="253"/>
      <c r="L29" s="65"/>
      <c r="M29" s="65"/>
      <c r="N29" s="58"/>
      <c r="O29" s="1"/>
      <c r="P29" s="1"/>
    </row>
    <row r="30" spans="2:16" s="4" customFormat="1" ht="18" customHeight="1">
      <c r="B30" s="57"/>
      <c r="C30" s="679"/>
      <c r="D30" s="680"/>
      <c r="E30" s="653"/>
      <c r="F30" s="654"/>
      <c r="G30" s="655"/>
      <c r="H30" s="678"/>
      <c r="I30" s="138">
        <f t="shared" si="0"/>
      </c>
      <c r="J30" s="138">
        <f t="shared" si="1"/>
      </c>
      <c r="K30" s="253"/>
      <c r="L30" s="65"/>
      <c r="M30" s="65"/>
      <c r="N30" s="58"/>
      <c r="O30" s="1"/>
      <c r="P30" s="1"/>
    </row>
    <row r="31" spans="2:18" s="4" customFormat="1" ht="18" customHeight="1">
      <c r="B31" s="57"/>
      <c r="C31" s="679"/>
      <c r="D31" s="680"/>
      <c r="E31" s="653"/>
      <c r="F31" s="654"/>
      <c r="G31" s="655"/>
      <c r="H31" s="678"/>
      <c r="I31" s="138">
        <f t="shared" si="0"/>
      </c>
      <c r="J31" s="138">
        <f t="shared" si="1"/>
      </c>
      <c r="K31" s="253"/>
      <c r="L31" s="65"/>
      <c r="M31" s="65"/>
      <c r="N31" s="58"/>
      <c r="O31" s="1"/>
      <c r="P31" s="1"/>
      <c r="Q31" s="1"/>
      <c r="R31" s="1"/>
    </row>
    <row r="32" spans="2:18" s="4" customFormat="1" ht="18" customHeight="1">
      <c r="B32" s="57"/>
      <c r="C32" s="679"/>
      <c r="D32" s="682"/>
      <c r="E32" s="653"/>
      <c r="F32" s="654"/>
      <c r="G32" s="655"/>
      <c r="H32" s="678"/>
      <c r="I32" s="138">
        <f t="shared" si="0"/>
      </c>
      <c r="J32" s="138">
        <f t="shared" si="1"/>
      </c>
      <c r="K32" s="253"/>
      <c r="L32" s="65"/>
      <c r="M32" s="65"/>
      <c r="N32" s="58"/>
      <c r="O32" s="1"/>
      <c r="P32" s="1"/>
      <c r="Q32" s="1"/>
      <c r="R32" s="1"/>
    </row>
    <row r="33" spans="2:14" s="4" customFormat="1" ht="18" customHeight="1">
      <c r="B33" s="57"/>
      <c r="C33" s="679"/>
      <c r="D33" s="680"/>
      <c r="E33" s="653"/>
      <c r="F33" s="654"/>
      <c r="G33" s="655"/>
      <c r="H33" s="678"/>
      <c r="I33" s="138">
        <f t="shared" si="0"/>
      </c>
      <c r="J33" s="138">
        <f t="shared" si="1"/>
      </c>
      <c r="K33" s="253"/>
      <c r="L33" s="65"/>
      <c r="M33" s="65"/>
      <c r="N33" s="58"/>
    </row>
    <row r="34" spans="2:14" s="4" customFormat="1" ht="18" customHeight="1">
      <c r="B34" s="78"/>
      <c r="C34" s="79"/>
      <c r="D34" s="154"/>
      <c r="E34" s="154"/>
      <c r="F34" s="154"/>
      <c r="G34" s="79"/>
      <c r="H34" s="79"/>
      <c r="I34" s="139"/>
      <c r="J34" s="139"/>
      <c r="K34" s="139"/>
      <c r="L34" s="65"/>
      <c r="M34" s="65"/>
      <c r="N34" s="58"/>
    </row>
    <row r="35" spans="2:14" s="4" customFormat="1" ht="18" customHeight="1">
      <c r="B35" s="78"/>
      <c r="C35" s="79"/>
      <c r="D35" s="65"/>
      <c r="E35" s="224"/>
      <c r="F35" s="741"/>
      <c r="G35" s="980" t="s">
        <v>428</v>
      </c>
      <c r="H35" s="1041"/>
      <c r="I35" s="1042"/>
      <c r="J35" s="334">
        <f>SUM(J27:J33)</f>
        <v>0</v>
      </c>
      <c r="K35" s="541" t="s">
        <v>427</v>
      </c>
      <c r="L35" s="65"/>
      <c r="M35" s="65"/>
      <c r="N35" s="58"/>
    </row>
    <row r="36" spans="1:14" s="4" customFormat="1" ht="18" customHeight="1">
      <c r="A36" s="335"/>
      <c r="B36" s="78"/>
      <c r="C36" s="79"/>
      <c r="D36" s="336"/>
      <c r="E36" s="337"/>
      <c r="F36" s="337"/>
      <c r="G36" s="337"/>
      <c r="H36" s="337"/>
      <c r="I36" s="337"/>
      <c r="J36" s="338"/>
      <c r="K36" s="65"/>
      <c r="L36" s="65"/>
      <c r="M36" s="65"/>
      <c r="N36" s="58"/>
    </row>
    <row r="37" spans="1:14" s="4" customFormat="1" ht="49.5" customHeight="1">
      <c r="A37" s="335"/>
      <c r="B37" s="78"/>
      <c r="C37" s="576" t="s">
        <v>178</v>
      </c>
      <c r="D37" s="1039" t="s">
        <v>495</v>
      </c>
      <c r="E37" s="1040"/>
      <c r="F37" s="1040"/>
      <c r="G37" s="1040"/>
      <c r="H37" s="1040"/>
      <c r="I37" s="1040"/>
      <c r="J37" s="1040"/>
      <c r="K37" s="1040"/>
      <c r="L37" s="1040"/>
      <c r="M37" s="1040"/>
      <c r="N37" s="58"/>
    </row>
    <row r="38" spans="1:14" s="4" customFormat="1" ht="18" customHeight="1">
      <c r="A38" s="335"/>
      <c r="B38" s="78"/>
      <c r="C38" s="79"/>
      <c r="D38" s="495" t="s">
        <v>559</v>
      </c>
      <c r="E38" s="337"/>
      <c r="F38" s="337"/>
      <c r="G38" s="337"/>
      <c r="H38" s="337"/>
      <c r="I38" s="337"/>
      <c r="J38" s="173"/>
      <c r="K38" s="65"/>
      <c r="L38" s="65"/>
      <c r="M38" s="65"/>
      <c r="N38" s="58"/>
    </row>
    <row r="39" spans="1:14" s="4" customFormat="1" ht="18" customHeight="1" thickBot="1">
      <c r="A39" s="335"/>
      <c r="B39" s="192"/>
      <c r="C39" s="193"/>
      <c r="D39" s="339"/>
      <c r="E39" s="340"/>
      <c r="F39" s="340"/>
      <c r="G39" s="340"/>
      <c r="H39" s="340"/>
      <c r="I39" s="340"/>
      <c r="J39" s="341"/>
      <c r="K39" s="81"/>
      <c r="L39" s="81"/>
      <c r="M39" s="81"/>
      <c r="N39" s="77"/>
    </row>
    <row r="40" ht="13.5" thickTop="1"/>
  </sheetData>
  <sheetProtection password="CD08" sheet="1" objects="1" scenarios="1"/>
  <mergeCells count="13">
    <mergeCell ref="D37:M37"/>
    <mergeCell ref="B13:C13"/>
    <mergeCell ref="B14:C14"/>
    <mergeCell ref="B15:C15"/>
    <mergeCell ref="G35:I35"/>
    <mergeCell ref="I21:J21"/>
    <mergeCell ref="E21:F21"/>
    <mergeCell ref="G21:H21"/>
    <mergeCell ref="B16:C16"/>
    <mergeCell ref="B1:M1"/>
    <mergeCell ref="B5:G5"/>
    <mergeCell ref="B7:G7"/>
    <mergeCell ref="B9:G9"/>
  </mergeCells>
  <printOptions horizontalCentered="1"/>
  <pageMargins left="0.75" right="0.75" top="1" bottom="1" header="0.5" footer="0.5"/>
  <pageSetup fitToHeight="3" fitToWidth="1" horizontalDpi="600" verticalDpi="600" orientation="landscape" scale="54" r:id="rId1"/>
  <headerFooter alignWithMargins="0">
    <oddHeader>&amp;L&amp;D&amp;R&amp;F</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K22"/>
  <sheetViews>
    <sheetView zoomScale="75" zoomScaleNormal="75" zoomScalePageLayoutView="0" workbookViewId="0" topLeftCell="A1">
      <pane ySplit="2" topLeftCell="A3" activePane="bottomLeft" state="frozen"/>
      <selection pane="topLeft" activeCell="A1" sqref="A1"/>
      <selection pane="bottomLeft" activeCell="A3" sqref="A3"/>
    </sheetView>
  </sheetViews>
  <sheetFormatPr defaultColWidth="11.421875" defaultRowHeight="12.75"/>
  <cols>
    <col min="1" max="1" width="4.421875" style="0" customWidth="1"/>
    <col min="2" max="2" width="5.00390625" style="0" customWidth="1"/>
    <col min="3" max="3" width="34.28125" style="0" customWidth="1"/>
    <col min="4" max="5" width="11.421875" style="0" customWidth="1"/>
    <col min="6" max="6" width="25.8515625" style="0" customWidth="1"/>
    <col min="7" max="7" width="11.421875" style="0" customWidth="1"/>
    <col min="8" max="8" width="55.57421875" style="0" customWidth="1"/>
    <col min="9" max="9" width="22.28125" style="0" customWidth="1"/>
  </cols>
  <sheetData>
    <row r="1" spans="3:8" s="21" customFormat="1" ht="23.25" customHeight="1" thickBot="1">
      <c r="C1" s="261"/>
      <c r="D1" s="260"/>
      <c r="E1" s="260"/>
      <c r="F1" s="260"/>
      <c r="G1" s="260"/>
      <c r="H1" s="260"/>
    </row>
    <row r="2" spans="2:8" s="26" customFormat="1" ht="32.25" customHeight="1" thickTop="1">
      <c r="B2" s="263"/>
      <c r="C2" s="264" t="s">
        <v>393</v>
      </c>
      <c r="D2" s="264" t="s">
        <v>394</v>
      </c>
      <c r="E2" s="265"/>
      <c r="F2" s="265"/>
      <c r="G2" s="265"/>
      <c r="H2" s="266"/>
    </row>
    <row r="3" spans="2:8" s="26" customFormat="1" ht="18" customHeight="1">
      <c r="B3" s="267"/>
      <c r="C3" s="268"/>
      <c r="D3" s="269"/>
      <c r="E3" s="269"/>
      <c r="F3" s="269"/>
      <c r="G3" s="269"/>
      <c r="H3" s="270"/>
    </row>
    <row r="4" spans="2:8" s="26" customFormat="1" ht="18" customHeight="1">
      <c r="B4" s="267"/>
      <c r="C4" s="256" t="s">
        <v>545</v>
      </c>
      <c r="D4" s="256"/>
      <c r="E4" s="281"/>
      <c r="F4" s="281"/>
      <c r="G4" s="281"/>
      <c r="H4" s="282"/>
    </row>
    <row r="5" spans="2:8" s="26" customFormat="1" ht="18" customHeight="1">
      <c r="B5" s="267"/>
      <c r="C5" s="256" t="s">
        <v>546</v>
      </c>
      <c r="D5" s="256"/>
      <c r="E5" s="281"/>
      <c r="F5" s="281"/>
      <c r="G5" s="281"/>
      <c r="H5" s="282"/>
    </row>
    <row r="6" spans="2:8" s="26" customFormat="1" ht="18" customHeight="1">
      <c r="B6" s="267"/>
      <c r="C6" s="256" t="s">
        <v>574</v>
      </c>
      <c r="D6" s="256" t="s">
        <v>222</v>
      </c>
      <c r="E6" s="281"/>
      <c r="F6" s="281"/>
      <c r="G6" s="281"/>
      <c r="H6" s="282"/>
    </row>
    <row r="7" spans="2:9" s="130" customFormat="1" ht="39" customHeight="1">
      <c r="B7" s="271"/>
      <c r="C7" s="256" t="s">
        <v>575</v>
      </c>
      <c r="D7" s="901" t="s">
        <v>561</v>
      </c>
      <c r="E7" s="901"/>
      <c r="F7" s="901"/>
      <c r="G7" s="901"/>
      <c r="H7" s="902"/>
      <c r="I7" s="182"/>
    </row>
    <row r="8" spans="2:9" s="130" customFormat="1" ht="18" customHeight="1">
      <c r="B8" s="271"/>
      <c r="C8" s="256" t="s">
        <v>522</v>
      </c>
      <c r="D8" s="258" t="s">
        <v>167</v>
      </c>
      <c r="E8" s="258"/>
      <c r="F8" s="258"/>
      <c r="G8" s="258"/>
      <c r="H8" s="259"/>
      <c r="I8" s="182"/>
    </row>
    <row r="9" spans="2:9" s="130" customFormat="1" ht="18" customHeight="1">
      <c r="B9" s="271"/>
      <c r="C9" s="256" t="s">
        <v>523</v>
      </c>
      <c r="D9" s="258" t="s">
        <v>524</v>
      </c>
      <c r="E9" s="258"/>
      <c r="F9" s="258"/>
      <c r="G9" s="258"/>
      <c r="H9" s="259"/>
      <c r="I9" s="182"/>
    </row>
    <row r="10" spans="2:9" s="130" customFormat="1" ht="18" customHeight="1">
      <c r="B10" s="271"/>
      <c r="C10" s="256" t="s">
        <v>600</v>
      </c>
      <c r="D10" s="903" t="s">
        <v>221</v>
      </c>
      <c r="E10" s="903"/>
      <c r="F10" s="903"/>
      <c r="G10" s="903"/>
      <c r="H10" s="904"/>
      <c r="I10" s="182"/>
    </row>
    <row r="11" spans="2:9" s="130" customFormat="1" ht="18" customHeight="1">
      <c r="B11" s="271"/>
      <c r="C11" s="256" t="s">
        <v>601</v>
      </c>
      <c r="D11" s="903" t="s">
        <v>219</v>
      </c>
      <c r="E11" s="903"/>
      <c r="F11" s="903"/>
      <c r="G11" s="903"/>
      <c r="H11" s="904"/>
      <c r="I11" s="182"/>
    </row>
    <row r="12" spans="2:9" s="130" customFormat="1" ht="18" customHeight="1">
      <c r="B12" s="271"/>
      <c r="C12" s="256" t="s">
        <v>602</v>
      </c>
      <c r="D12" s="903" t="s">
        <v>169</v>
      </c>
      <c r="E12" s="903"/>
      <c r="F12" s="903"/>
      <c r="G12" s="903"/>
      <c r="H12" s="904"/>
      <c r="I12" s="182"/>
    </row>
    <row r="13" spans="2:9" s="130" customFormat="1" ht="18" customHeight="1">
      <c r="B13" s="271"/>
      <c r="C13" s="256" t="s">
        <v>603</v>
      </c>
      <c r="D13" s="258" t="s">
        <v>595</v>
      </c>
      <c r="E13" s="258"/>
      <c r="F13" s="258"/>
      <c r="G13" s="258"/>
      <c r="H13" s="259"/>
      <c r="I13" s="182"/>
    </row>
    <row r="14" spans="2:11" s="28" customFormat="1" ht="18" customHeight="1">
      <c r="B14" s="272"/>
      <c r="C14" s="256" t="s">
        <v>395</v>
      </c>
      <c r="D14" s="903" t="s">
        <v>400</v>
      </c>
      <c r="E14" s="903"/>
      <c r="F14" s="903"/>
      <c r="G14" s="903"/>
      <c r="H14" s="259"/>
      <c r="I14" s="182"/>
      <c r="J14" s="130"/>
      <c r="K14" s="130"/>
    </row>
    <row r="15" spans="2:11" s="28" customFormat="1" ht="18" customHeight="1">
      <c r="B15" s="272"/>
      <c r="C15" s="256" t="s">
        <v>441</v>
      </c>
      <c r="D15" s="903" t="s">
        <v>442</v>
      </c>
      <c r="E15" s="903"/>
      <c r="F15" s="903"/>
      <c r="G15" s="258"/>
      <c r="H15" s="259"/>
      <c r="I15" s="182"/>
      <c r="J15" s="130"/>
      <c r="K15" s="130"/>
    </row>
    <row r="16" spans="2:11" s="28" customFormat="1" ht="18" customHeight="1">
      <c r="B16" s="272"/>
      <c r="C16" s="256" t="s">
        <v>267</v>
      </c>
      <c r="D16" s="258" t="s">
        <v>606</v>
      </c>
      <c r="E16" s="258"/>
      <c r="F16" s="258"/>
      <c r="G16" s="258"/>
      <c r="H16" s="259"/>
      <c r="I16" s="182"/>
      <c r="J16" s="130"/>
      <c r="K16" s="130"/>
    </row>
    <row r="17" spans="2:11" s="28" customFormat="1" ht="18" customHeight="1">
      <c r="B17" s="271"/>
      <c r="C17" s="256" t="s">
        <v>179</v>
      </c>
      <c r="D17" s="258" t="s">
        <v>170</v>
      </c>
      <c r="E17" s="258"/>
      <c r="F17" s="258"/>
      <c r="G17" s="258"/>
      <c r="H17" s="259"/>
      <c r="I17" s="182"/>
      <c r="J17" s="130"/>
      <c r="K17" s="130"/>
    </row>
    <row r="18" spans="2:11" s="28" customFormat="1" ht="18" customHeight="1" thickBot="1">
      <c r="B18" s="273"/>
      <c r="C18" s="250"/>
      <c r="D18" s="274"/>
      <c r="E18" s="274"/>
      <c r="F18" s="274"/>
      <c r="G18" s="274"/>
      <c r="H18" s="275"/>
      <c r="I18" s="182"/>
      <c r="J18" s="130"/>
      <c r="K18" s="130"/>
    </row>
    <row r="19" spans="3:9" s="28" customFormat="1" ht="18" customHeight="1" thickTop="1">
      <c r="C19" s="181"/>
      <c r="D19" s="905"/>
      <c r="E19" s="905"/>
      <c r="F19" s="905"/>
      <c r="G19" s="905"/>
      <c r="H19" s="905"/>
      <c r="I19" s="905"/>
    </row>
    <row r="20" spans="3:9" s="28" customFormat="1" ht="18" customHeight="1">
      <c r="C20" s="181"/>
      <c r="D20" s="905"/>
      <c r="E20" s="905"/>
      <c r="F20" s="905"/>
      <c r="G20" s="905"/>
      <c r="H20" s="905"/>
      <c r="I20" s="905"/>
    </row>
    <row r="21" spans="3:9" s="28" customFormat="1" ht="18" customHeight="1">
      <c r="C21" s="181"/>
      <c r="D21" s="905"/>
      <c r="E21" s="905"/>
      <c r="F21" s="905"/>
      <c r="G21" s="905"/>
      <c r="H21" s="905"/>
      <c r="I21" s="905"/>
    </row>
    <row r="22" spans="3:9" s="28" customFormat="1" ht="18" customHeight="1">
      <c r="C22" s="181"/>
      <c r="D22" s="905"/>
      <c r="E22" s="905"/>
      <c r="F22" s="905"/>
      <c r="G22" s="905"/>
      <c r="H22" s="905"/>
      <c r="I22" s="905"/>
    </row>
    <row r="23" ht="18" customHeight="1"/>
    <row r="24" ht="15" customHeight="1"/>
  </sheetData>
  <sheetProtection password="CD08" sheet="1" objects="1" scenarios="1"/>
  <mergeCells count="10">
    <mergeCell ref="D7:H7"/>
    <mergeCell ref="D11:H11"/>
    <mergeCell ref="D12:H12"/>
    <mergeCell ref="D10:H10"/>
    <mergeCell ref="D14:G14"/>
    <mergeCell ref="D22:I22"/>
    <mergeCell ref="D15:F15"/>
    <mergeCell ref="D19:I19"/>
    <mergeCell ref="D20:I20"/>
    <mergeCell ref="D21:I21"/>
  </mergeCells>
  <printOptions/>
  <pageMargins left="0.75" right="0.75" top="1" bottom="1" header="0.4921259845" footer="0.4921259845"/>
  <pageSetup fitToHeight="1" fitToWidth="1" horizontalDpi="300" verticalDpi="300" orientation="portrait" scale="58" r:id="rId1"/>
</worksheet>
</file>

<file path=xl/worksheets/sheet3.xml><?xml version="1.0" encoding="utf-8"?>
<worksheet xmlns="http://schemas.openxmlformats.org/spreadsheetml/2006/main" xmlns:r="http://schemas.openxmlformats.org/officeDocument/2006/relationships">
  <sheetPr>
    <pageSetUpPr fitToPage="1"/>
  </sheetPr>
  <dimension ref="B2:H46"/>
  <sheetViews>
    <sheetView zoomScale="75" zoomScaleNormal="75" zoomScalePageLayoutView="0" workbookViewId="0" topLeftCell="A1">
      <selection activeCell="A1" sqref="A1"/>
    </sheetView>
  </sheetViews>
  <sheetFormatPr defaultColWidth="9.140625" defaultRowHeight="12.75"/>
  <cols>
    <col min="1" max="1" width="4.00390625" style="0" customWidth="1"/>
    <col min="2" max="2" width="9.00390625" style="0" customWidth="1"/>
    <col min="3" max="5" width="9.140625" style="0" hidden="1" customWidth="1"/>
    <col min="6" max="6" width="67.28125" style="0" customWidth="1"/>
    <col min="7" max="7" width="30.7109375" style="185" customWidth="1"/>
  </cols>
  <sheetData>
    <row r="2" spans="2:8" ht="28.5" customHeight="1">
      <c r="B2" s="911" t="s">
        <v>663</v>
      </c>
      <c r="C2" s="912"/>
      <c r="D2" s="912"/>
      <c r="E2" s="912"/>
      <c r="F2" s="912"/>
      <c r="G2" s="912"/>
      <c r="H2" s="912"/>
    </row>
    <row r="3" spans="2:8" ht="17.25" customHeight="1">
      <c r="B3" s="209"/>
      <c r="C3" s="210"/>
      <c r="D3" s="210"/>
      <c r="E3" s="210"/>
      <c r="F3" s="211" t="s">
        <v>540</v>
      </c>
      <c r="G3" s="212"/>
      <c r="H3" s="210"/>
    </row>
    <row r="4" spans="2:7" ht="27" customHeight="1" thickBot="1">
      <c r="B4" s="31"/>
      <c r="C4" s="31"/>
      <c r="D4" s="31"/>
      <c r="E4" s="31"/>
      <c r="F4" s="199"/>
      <c r="G4" s="199"/>
    </row>
    <row r="5" spans="2:8" ht="27" customHeight="1" thickTop="1">
      <c r="B5" s="915" t="s">
        <v>225</v>
      </c>
      <c r="C5" s="916"/>
      <c r="D5" s="916"/>
      <c r="E5" s="916"/>
      <c r="F5" s="916"/>
      <c r="G5" s="200"/>
      <c r="H5" s="201"/>
    </row>
    <row r="6" spans="2:8" ht="17.25" customHeight="1">
      <c r="B6" s="236"/>
      <c r="C6" s="237"/>
      <c r="D6" s="237"/>
      <c r="E6" s="237"/>
      <c r="F6" s="238"/>
      <c r="G6" s="134"/>
      <c r="H6" s="202"/>
    </row>
    <row r="7" spans="2:8" ht="14.25" customHeight="1">
      <c r="B7" s="67"/>
      <c r="C7" s="134"/>
      <c r="D7" s="134"/>
      <c r="E7" s="134"/>
      <c r="F7" s="230" t="s">
        <v>253</v>
      </c>
      <c r="G7" s="134"/>
      <c r="H7" s="202"/>
    </row>
    <row r="8" spans="2:8" ht="18" customHeight="1">
      <c r="B8" s="67"/>
      <c r="C8" s="134"/>
      <c r="D8" s="134"/>
      <c r="E8" s="134"/>
      <c r="F8" s="908"/>
      <c r="G8" s="909"/>
      <c r="H8" s="620"/>
    </row>
    <row r="9" spans="2:8" ht="25.5" customHeight="1">
      <c r="B9" s="67"/>
      <c r="C9" s="134"/>
      <c r="D9" s="134"/>
      <c r="E9" s="134"/>
      <c r="F9" s="913" t="s">
        <v>534</v>
      </c>
      <c r="G9" s="914"/>
      <c r="H9" s="202"/>
    </row>
    <row r="10" spans="2:8" ht="78" customHeight="1">
      <c r="B10" s="67"/>
      <c r="C10" s="134"/>
      <c r="D10" s="134"/>
      <c r="E10" s="134"/>
      <c r="F10" s="908"/>
      <c r="G10" s="909"/>
      <c r="H10" s="620"/>
    </row>
    <row r="11" spans="2:8" ht="15.75" customHeight="1">
      <c r="B11" s="67"/>
      <c r="C11" s="134"/>
      <c r="D11" s="134"/>
      <c r="E11" s="134"/>
      <c r="F11" s="233"/>
      <c r="G11" s="234"/>
      <c r="H11" s="202"/>
    </row>
    <row r="12" spans="2:8" ht="24" customHeight="1">
      <c r="B12" s="67"/>
      <c r="C12" s="134"/>
      <c r="D12" s="134"/>
      <c r="E12" s="134"/>
      <c r="F12" s="619" t="s">
        <v>539</v>
      </c>
      <c r="G12" s="619"/>
      <c r="H12" s="202"/>
    </row>
    <row r="13" spans="2:8" ht="84" customHeight="1">
      <c r="B13" s="67"/>
      <c r="C13" s="134"/>
      <c r="D13" s="134"/>
      <c r="E13" s="134"/>
      <c r="F13" s="908"/>
      <c r="G13" s="909"/>
      <c r="H13" s="202"/>
    </row>
    <row r="14" spans="2:8" ht="15.75" customHeight="1">
      <c r="B14" s="67"/>
      <c r="C14" s="134"/>
      <c r="D14" s="134"/>
      <c r="E14" s="134"/>
      <c r="F14" s="233"/>
      <c r="G14" s="234"/>
      <c r="H14" s="202"/>
    </row>
    <row r="15" spans="2:8" ht="33" customHeight="1">
      <c r="B15" s="67"/>
      <c r="C15" s="134"/>
      <c r="D15" s="134"/>
      <c r="E15" s="134"/>
      <c r="F15" s="910" t="s">
        <v>218</v>
      </c>
      <c r="G15" s="910"/>
      <c r="H15" s="202"/>
    </row>
    <row r="16" spans="2:8" ht="84" customHeight="1">
      <c r="B16" s="67"/>
      <c r="C16" s="134"/>
      <c r="D16" s="134"/>
      <c r="E16" s="134"/>
      <c r="F16" s="908"/>
      <c r="G16" s="909"/>
      <c r="H16" s="202"/>
    </row>
    <row r="17" spans="2:8" ht="18" customHeight="1">
      <c r="B17" s="67"/>
      <c r="C17" s="134"/>
      <c r="D17" s="134"/>
      <c r="E17" s="134"/>
      <c r="F17" s="134"/>
      <c r="G17" s="134"/>
      <c r="H17" s="202"/>
    </row>
    <row r="18" spans="2:8" ht="41.25" customHeight="1" thickBot="1">
      <c r="B18" s="67"/>
      <c r="C18" s="134"/>
      <c r="D18" s="134"/>
      <c r="E18" s="134"/>
      <c r="F18" s="906" t="s">
        <v>535</v>
      </c>
      <c r="G18" s="907"/>
      <c r="H18" s="202"/>
    </row>
    <row r="19" spans="2:8" ht="51" customHeight="1" thickBot="1" thickTop="1">
      <c r="B19" s="67"/>
      <c r="C19" s="134"/>
      <c r="D19" s="134"/>
      <c r="E19" s="134"/>
      <c r="F19" s="206" t="s">
        <v>463</v>
      </c>
      <c r="G19" s="621" t="s">
        <v>664</v>
      </c>
      <c r="H19" s="202"/>
    </row>
    <row r="20" spans="2:8" ht="13.5" thickTop="1">
      <c r="B20" s="67"/>
      <c r="C20" s="134"/>
      <c r="D20" s="134"/>
      <c r="E20" s="134"/>
      <c r="F20" s="207" t="s">
        <v>444</v>
      </c>
      <c r="G20" s="690"/>
      <c r="H20" s="202"/>
    </row>
    <row r="21" spans="2:8" ht="12.75">
      <c r="B21" s="67"/>
      <c r="C21" s="134"/>
      <c r="D21" s="134"/>
      <c r="E21" s="134"/>
      <c r="F21" s="208" t="s">
        <v>144</v>
      </c>
      <c r="G21" s="690"/>
      <c r="H21" s="202"/>
    </row>
    <row r="22" spans="2:8" ht="12.75">
      <c r="B22" s="67"/>
      <c r="C22" s="134"/>
      <c r="D22" s="134"/>
      <c r="E22" s="134"/>
      <c r="F22" s="208" t="s">
        <v>445</v>
      </c>
      <c r="G22" s="690"/>
      <c r="H22" s="202"/>
    </row>
    <row r="23" spans="2:8" ht="12.75">
      <c r="B23" s="67"/>
      <c r="C23" s="134"/>
      <c r="D23" s="134"/>
      <c r="E23" s="134"/>
      <c r="F23" s="208" t="s">
        <v>446</v>
      </c>
      <c r="G23" s="690"/>
      <c r="H23" s="202"/>
    </row>
    <row r="24" spans="2:8" ht="12.75">
      <c r="B24" s="67"/>
      <c r="C24" s="134"/>
      <c r="D24" s="134"/>
      <c r="E24" s="134"/>
      <c r="F24" s="208" t="s">
        <v>447</v>
      </c>
      <c r="G24" s="690"/>
      <c r="H24" s="202"/>
    </row>
    <row r="25" spans="2:8" ht="12.75">
      <c r="B25" s="67"/>
      <c r="C25" s="134"/>
      <c r="D25" s="134"/>
      <c r="E25" s="134"/>
      <c r="F25" s="208" t="s">
        <v>562</v>
      </c>
      <c r="G25" s="690"/>
      <c r="H25" s="202"/>
    </row>
    <row r="26" spans="2:8" ht="12.75">
      <c r="B26" s="67"/>
      <c r="C26" s="134"/>
      <c r="D26" s="134"/>
      <c r="E26" s="134"/>
      <c r="F26" s="208" t="s">
        <v>146</v>
      </c>
      <c r="G26" s="690"/>
      <c r="H26" s="202"/>
    </row>
    <row r="27" spans="2:8" ht="12.75">
      <c r="B27" s="67"/>
      <c r="C27" s="134"/>
      <c r="D27" s="134"/>
      <c r="E27" s="134"/>
      <c r="F27" s="208" t="s">
        <v>147</v>
      </c>
      <c r="G27" s="690"/>
      <c r="H27" s="202"/>
    </row>
    <row r="28" spans="2:8" ht="12.75">
      <c r="B28" s="67"/>
      <c r="C28" s="134"/>
      <c r="D28" s="134"/>
      <c r="E28" s="134"/>
      <c r="F28" s="208" t="s">
        <v>450</v>
      </c>
      <c r="G28" s="690"/>
      <c r="H28" s="202"/>
    </row>
    <row r="29" spans="2:8" ht="12.75">
      <c r="B29" s="67"/>
      <c r="C29" s="134"/>
      <c r="D29" s="134"/>
      <c r="E29" s="134"/>
      <c r="F29" s="208" t="s">
        <v>448</v>
      </c>
      <c r="G29" s="690"/>
      <c r="H29" s="202"/>
    </row>
    <row r="30" spans="2:8" ht="12.75">
      <c r="B30" s="67"/>
      <c r="C30" s="134"/>
      <c r="D30" s="134"/>
      <c r="E30" s="134"/>
      <c r="F30" s="208" t="s">
        <v>449</v>
      </c>
      <c r="G30" s="690"/>
      <c r="H30" s="202"/>
    </row>
    <row r="31" spans="2:8" ht="12.75">
      <c r="B31" s="67"/>
      <c r="C31" s="134"/>
      <c r="D31" s="134"/>
      <c r="E31" s="134"/>
      <c r="F31" s="208" t="s">
        <v>145</v>
      </c>
      <c r="G31" s="690"/>
      <c r="H31" s="202"/>
    </row>
    <row r="32" spans="2:8" ht="12.75">
      <c r="B32" s="67"/>
      <c r="C32" s="134"/>
      <c r="D32" s="134"/>
      <c r="E32" s="134"/>
      <c r="F32" s="208" t="s">
        <v>451</v>
      </c>
      <c r="G32" s="690"/>
      <c r="H32" s="202"/>
    </row>
    <row r="33" spans="2:8" ht="12.75">
      <c r="B33" s="67"/>
      <c r="C33" s="134"/>
      <c r="D33" s="134"/>
      <c r="E33" s="134"/>
      <c r="F33" s="208" t="s">
        <v>452</v>
      </c>
      <c r="G33" s="690"/>
      <c r="H33" s="202"/>
    </row>
    <row r="34" spans="2:8" ht="12.75">
      <c r="B34" s="67"/>
      <c r="C34" s="134"/>
      <c r="D34" s="134"/>
      <c r="E34" s="134"/>
      <c r="F34" s="208" t="s">
        <v>459</v>
      </c>
      <c r="G34" s="690"/>
      <c r="H34" s="202"/>
    </row>
    <row r="35" spans="2:8" ht="12.75">
      <c r="B35" s="67"/>
      <c r="C35" s="134"/>
      <c r="D35" s="134"/>
      <c r="E35" s="134"/>
      <c r="F35" s="208" t="s">
        <v>460</v>
      </c>
      <c r="G35" s="690"/>
      <c r="H35" s="202"/>
    </row>
    <row r="36" spans="2:8" ht="12.75">
      <c r="B36" s="67"/>
      <c r="C36" s="134"/>
      <c r="D36" s="134"/>
      <c r="E36" s="134"/>
      <c r="F36" s="208" t="s">
        <v>461</v>
      </c>
      <c r="G36" s="690"/>
      <c r="H36" s="202"/>
    </row>
    <row r="37" spans="2:8" ht="12.75">
      <c r="B37" s="67"/>
      <c r="C37" s="134"/>
      <c r="D37" s="134"/>
      <c r="E37" s="134"/>
      <c r="F37" s="208" t="s">
        <v>277</v>
      </c>
      <c r="G37" s="690"/>
      <c r="H37" s="202"/>
    </row>
    <row r="38" spans="2:8" ht="12.75">
      <c r="B38" s="67"/>
      <c r="C38" s="134"/>
      <c r="D38" s="134"/>
      <c r="E38" s="134"/>
      <c r="F38" s="208" t="s">
        <v>278</v>
      </c>
      <c r="G38" s="690"/>
      <c r="H38" s="202"/>
    </row>
    <row r="39" spans="2:8" ht="12.75">
      <c r="B39" s="67"/>
      <c r="C39" s="134"/>
      <c r="D39" s="134"/>
      <c r="E39" s="134"/>
      <c r="F39" s="208" t="s">
        <v>276</v>
      </c>
      <c r="G39" s="690"/>
      <c r="H39" s="202"/>
    </row>
    <row r="40" spans="2:8" ht="12.75">
      <c r="B40" s="67"/>
      <c r="C40" s="134"/>
      <c r="D40" s="134"/>
      <c r="E40" s="134"/>
      <c r="F40" s="208" t="s">
        <v>279</v>
      </c>
      <c r="G40" s="690"/>
      <c r="H40" s="202"/>
    </row>
    <row r="41" spans="2:8" ht="12.75">
      <c r="B41" s="67"/>
      <c r="C41" s="134"/>
      <c r="D41" s="134"/>
      <c r="E41" s="134"/>
      <c r="F41" s="692" t="s">
        <v>462</v>
      </c>
      <c r="G41" s="690"/>
      <c r="H41" s="202"/>
    </row>
    <row r="42" spans="2:8" ht="12.75">
      <c r="B42" s="67"/>
      <c r="C42" s="134"/>
      <c r="D42" s="134"/>
      <c r="E42" s="134"/>
      <c r="F42" s="692" t="s">
        <v>462</v>
      </c>
      <c r="G42" s="690"/>
      <c r="H42" s="202"/>
    </row>
    <row r="43" spans="2:8" ht="12.75">
      <c r="B43" s="67"/>
      <c r="C43" s="134"/>
      <c r="D43" s="134"/>
      <c r="E43" s="134"/>
      <c r="F43" s="692" t="s">
        <v>462</v>
      </c>
      <c r="G43" s="690"/>
      <c r="H43" s="202"/>
    </row>
    <row r="44" spans="2:8" ht="13.5" thickBot="1">
      <c r="B44" s="67"/>
      <c r="C44" s="134"/>
      <c r="D44" s="134"/>
      <c r="E44" s="134"/>
      <c r="F44" s="693" t="s">
        <v>462</v>
      </c>
      <c r="G44" s="691"/>
      <c r="H44" s="202"/>
    </row>
    <row r="45" spans="2:8" ht="13.5" thickTop="1">
      <c r="B45" s="67"/>
      <c r="C45" s="134"/>
      <c r="D45" s="134"/>
      <c r="E45" s="134"/>
      <c r="F45" s="134"/>
      <c r="G45" s="200"/>
      <c r="H45" s="202"/>
    </row>
    <row r="46" spans="2:8" ht="13.5" thickBot="1">
      <c r="B46" s="203"/>
      <c r="C46" s="204"/>
      <c r="D46" s="204"/>
      <c r="E46" s="204"/>
      <c r="F46" s="204"/>
      <c r="G46" s="204"/>
      <c r="H46" s="205"/>
    </row>
    <row r="47" ht="13.5" thickTop="1"/>
  </sheetData>
  <sheetProtection password="CD08" sheet="1" objects="1" scenarios="1"/>
  <mergeCells count="9">
    <mergeCell ref="F18:G18"/>
    <mergeCell ref="F10:G10"/>
    <mergeCell ref="F13:G13"/>
    <mergeCell ref="F16:G16"/>
    <mergeCell ref="F15:G15"/>
    <mergeCell ref="B2:H2"/>
    <mergeCell ref="F9:G9"/>
    <mergeCell ref="B5:F5"/>
    <mergeCell ref="F8:G8"/>
  </mergeCells>
  <printOptions horizontalCentered="1" verticalCentered="1"/>
  <pageMargins left="0.75" right="0.75" top="0.6" bottom="0.5" header="0.32" footer="0.5"/>
  <pageSetup fitToHeight="1" fitToWidth="1" horizontalDpi="600" verticalDpi="600" orientation="portrait" scale="78" r:id="rId1"/>
  <headerFooter alignWithMargins="0">
    <oddHeader>&amp;L&amp;D&amp;R&amp;F</oddHeader>
  </headerFooter>
</worksheet>
</file>

<file path=xl/worksheets/sheet4.xml><?xml version="1.0" encoding="utf-8"?>
<worksheet xmlns="http://schemas.openxmlformats.org/spreadsheetml/2006/main" xmlns:r="http://schemas.openxmlformats.org/officeDocument/2006/relationships">
  <sheetPr>
    <pageSetUpPr fitToPage="1"/>
  </sheetPr>
  <dimension ref="A3:U88"/>
  <sheetViews>
    <sheetView zoomScale="75" zoomScaleNormal="75" zoomScaleSheetLayoutView="25" zoomScalePageLayoutView="0" workbookViewId="0" topLeftCell="A1">
      <selection activeCell="A1" sqref="A1"/>
    </sheetView>
  </sheetViews>
  <sheetFormatPr defaultColWidth="9.7109375" defaultRowHeight="12.75"/>
  <cols>
    <col min="1" max="1" width="4.57421875" style="4" customWidth="1"/>
    <col min="2" max="2" width="3.8515625" style="4" customWidth="1"/>
    <col min="3" max="3" width="31.57421875" style="4" customWidth="1"/>
    <col min="4" max="4" width="22.57421875" style="4" customWidth="1"/>
    <col min="5" max="5" width="21.8515625" style="147" customWidth="1"/>
    <col min="6" max="6" width="22.7109375" style="147" customWidth="1"/>
    <col min="7" max="7" width="24.57421875" style="147" customWidth="1"/>
    <col min="8" max="8" width="23.7109375" style="4" customWidth="1"/>
    <col min="9" max="9" width="22.57421875" style="4" customWidth="1"/>
    <col min="10" max="10" width="23.421875" style="4" customWidth="1"/>
    <col min="11" max="11" width="22.8515625" style="4" customWidth="1"/>
    <col min="12" max="12" width="24.7109375" style="4" customWidth="1"/>
    <col min="13" max="13" width="25.57421875" style="4" customWidth="1"/>
    <col min="14" max="14" width="17.28125" style="4" customWidth="1"/>
    <col min="15" max="15" width="19.140625" style="4" customWidth="1"/>
    <col min="16" max="16" width="16.8515625" style="4" customWidth="1"/>
    <col min="17" max="17" width="19.140625" style="4" customWidth="1"/>
    <col min="18" max="18" width="17.57421875" style="4" customWidth="1"/>
    <col min="19" max="19" width="15.8515625" style="4" customWidth="1"/>
    <col min="20" max="20" width="16.8515625" style="4" customWidth="1"/>
    <col min="21" max="21" width="5.421875" style="4" customWidth="1"/>
    <col min="22" max="16384" width="9.7109375" style="4" customWidth="1"/>
  </cols>
  <sheetData>
    <row r="3" spans="3:4" ht="27.75" customHeight="1">
      <c r="C3" s="475" t="s">
        <v>193</v>
      </c>
      <c r="D3" s="38"/>
    </row>
    <row r="4" spans="1:7" ht="48.75" customHeight="1">
      <c r="A4" s="38"/>
      <c r="C4" s="932" t="s">
        <v>148</v>
      </c>
      <c r="D4" s="881"/>
      <c r="E4" s="881"/>
      <c r="F4" s="881"/>
      <c r="G4" s="881"/>
    </row>
    <row r="5" spans="1:3" ht="18" customHeight="1">
      <c r="A5" s="38"/>
      <c r="C5" s="15"/>
    </row>
    <row r="6" spans="1:11" ht="30.75" customHeight="1">
      <c r="A6" s="38"/>
      <c r="C6" s="933" t="s">
        <v>229</v>
      </c>
      <c r="D6" s="934"/>
      <c r="E6" s="934"/>
      <c r="F6" s="934"/>
      <c r="G6" s="934"/>
      <c r="H6" s="934"/>
      <c r="I6" s="935"/>
      <c r="J6" s="935"/>
      <c r="K6" s="936"/>
    </row>
    <row r="7" spans="1:8" ht="13.5" customHeight="1" thickBot="1">
      <c r="A7" s="38"/>
      <c r="C7" s="15"/>
      <c r="H7" s="440"/>
    </row>
    <row r="8" spans="1:8" ht="22.5" customHeight="1" thickTop="1">
      <c r="A8" s="38"/>
      <c r="B8" s="467" t="s">
        <v>177</v>
      </c>
      <c r="C8" s="461"/>
      <c r="D8" s="462"/>
      <c r="E8" s="463"/>
      <c r="F8" s="463"/>
      <c r="G8" s="463"/>
      <c r="H8" s="471"/>
    </row>
    <row r="9" spans="1:8" ht="18" customHeight="1">
      <c r="A9" s="38"/>
      <c r="B9" s="927" t="s">
        <v>403</v>
      </c>
      <c r="C9" s="928"/>
      <c r="D9" s="159"/>
      <c r="E9" s="166"/>
      <c r="F9" s="166"/>
      <c r="G9" s="166"/>
      <c r="H9" s="335"/>
    </row>
    <row r="10" spans="1:8" ht="18" customHeight="1">
      <c r="A10" s="38"/>
      <c r="B10" s="927" t="s">
        <v>404</v>
      </c>
      <c r="C10" s="928"/>
      <c r="D10" s="449"/>
      <c r="E10" s="2" t="s">
        <v>297</v>
      </c>
      <c r="F10" s="166"/>
      <c r="G10" s="166"/>
      <c r="H10" s="335"/>
    </row>
    <row r="11" spans="1:8" ht="18" customHeight="1">
      <c r="A11" s="38"/>
      <c r="B11" s="927" t="s">
        <v>464</v>
      </c>
      <c r="C11" s="928"/>
      <c r="D11" s="161"/>
      <c r="E11" s="166"/>
      <c r="F11" s="166"/>
      <c r="G11" s="166"/>
      <c r="H11" s="335"/>
    </row>
    <row r="12" spans="1:8" ht="18" customHeight="1">
      <c r="A12" s="38"/>
      <c r="B12" s="927" t="s">
        <v>255</v>
      </c>
      <c r="C12" s="928"/>
      <c r="D12" s="162"/>
      <c r="E12" s="166"/>
      <c r="F12" s="166"/>
      <c r="G12" s="166"/>
      <c r="H12" s="335"/>
    </row>
    <row r="13" spans="2:18" ht="18" customHeight="1" thickBot="1">
      <c r="B13" s="468"/>
      <c r="C13" s="436"/>
      <c r="D13" s="436"/>
      <c r="E13" s="437"/>
      <c r="F13" s="438"/>
      <c r="G13" s="439"/>
      <c r="H13" s="457"/>
      <c r="I13" s="1"/>
      <c r="J13" s="1"/>
      <c r="K13" s="1"/>
      <c r="L13" s="1"/>
      <c r="M13" s="1"/>
      <c r="N13" s="1"/>
      <c r="O13" s="1"/>
      <c r="P13" s="1"/>
      <c r="Q13" s="1"/>
      <c r="R13" s="1"/>
    </row>
    <row r="14" spans="2:18" ht="18" customHeight="1" thickBot="1" thickTop="1">
      <c r="B14" s="19"/>
      <c r="C14" s="19"/>
      <c r="D14" s="19"/>
      <c r="E14" s="148"/>
      <c r="F14" s="158"/>
      <c r="G14" s="166"/>
      <c r="H14" s="1"/>
      <c r="I14" s="1"/>
      <c r="J14" s="1"/>
      <c r="K14" s="1"/>
      <c r="L14" s="1"/>
      <c r="M14" s="1"/>
      <c r="N14" s="1"/>
      <c r="O14" s="1"/>
      <c r="P14" s="1"/>
      <c r="Q14" s="1"/>
      <c r="R14" s="1"/>
    </row>
    <row r="15" spans="2:18" ht="18" customHeight="1" thickTop="1">
      <c r="B15" s="235" t="s">
        <v>181</v>
      </c>
      <c r="C15" s="55"/>
      <c r="D15" s="149"/>
      <c r="E15" s="149"/>
      <c r="F15" s="55"/>
      <c r="G15" s="55"/>
      <c r="H15" s="55"/>
      <c r="I15" s="55"/>
      <c r="J15" s="55"/>
      <c r="K15" s="55"/>
      <c r="L15" s="55"/>
      <c r="M15" s="56"/>
      <c r="N15" s="1"/>
      <c r="O15" s="1"/>
      <c r="P15" s="1"/>
      <c r="Q15" s="1"/>
      <c r="R15" s="1"/>
    </row>
    <row r="16" spans="2:18" ht="18" customHeight="1">
      <c r="B16" s="57"/>
      <c r="C16" s="65"/>
      <c r="D16" s="150"/>
      <c r="E16" s="17" t="s">
        <v>353</v>
      </c>
      <c r="F16" s="919" t="s">
        <v>368</v>
      </c>
      <c r="G16" s="920"/>
      <c r="H16" s="918"/>
      <c r="I16" s="919" t="s">
        <v>369</v>
      </c>
      <c r="J16" s="920"/>
      <c r="K16" s="920"/>
      <c r="L16" s="918"/>
      <c r="M16" s="71"/>
      <c r="N16" s="1"/>
      <c r="O16" s="1"/>
      <c r="P16" s="1"/>
      <c r="Q16" s="1"/>
      <c r="R16" s="1"/>
    </row>
    <row r="17" spans="2:18" ht="18" customHeight="1">
      <c r="B17" s="57"/>
      <c r="C17" s="65"/>
      <c r="D17" s="150"/>
      <c r="E17" s="163" t="s">
        <v>256</v>
      </c>
      <c r="F17" s="799" t="s">
        <v>257</v>
      </c>
      <c r="G17" s="3" t="s">
        <v>396</v>
      </c>
      <c r="H17" s="126" t="s">
        <v>258</v>
      </c>
      <c r="I17" s="127" t="s">
        <v>259</v>
      </c>
      <c r="J17" s="127" t="s">
        <v>262</v>
      </c>
      <c r="K17" s="127" t="s">
        <v>271</v>
      </c>
      <c r="L17" s="128" t="s">
        <v>526</v>
      </c>
      <c r="M17" s="72"/>
      <c r="N17" s="1"/>
      <c r="O17" s="1"/>
      <c r="P17" s="1"/>
      <c r="Q17" s="1"/>
      <c r="R17" s="1"/>
    </row>
    <row r="18" spans="2:18" ht="56.25" customHeight="1">
      <c r="B18" s="67"/>
      <c r="C18" s="134"/>
      <c r="D18" s="151"/>
      <c r="E18" s="164" t="s">
        <v>397</v>
      </c>
      <c r="F18" s="5" t="s">
        <v>563</v>
      </c>
      <c r="G18" s="5" t="s">
        <v>195</v>
      </c>
      <c r="H18" s="5" t="s">
        <v>196</v>
      </c>
      <c r="I18" s="5" t="s">
        <v>201</v>
      </c>
      <c r="J18" s="5" t="s">
        <v>202</v>
      </c>
      <c r="K18" s="5" t="s">
        <v>203</v>
      </c>
      <c r="L18" s="8" t="s">
        <v>204</v>
      </c>
      <c r="M18" s="73"/>
      <c r="N18" s="1"/>
      <c r="O18" s="1"/>
      <c r="P18" s="1"/>
      <c r="Q18" s="1"/>
      <c r="R18" s="1"/>
    </row>
    <row r="19" spans="2:18" ht="23.25" customHeight="1">
      <c r="B19" s="67"/>
      <c r="C19" s="134"/>
      <c r="D19" s="151"/>
      <c r="E19" s="186" t="s">
        <v>194</v>
      </c>
      <c r="F19" s="800" t="s">
        <v>198</v>
      </c>
      <c r="G19" s="800" t="s">
        <v>199</v>
      </c>
      <c r="H19" s="800" t="s">
        <v>200</v>
      </c>
      <c r="I19" s="5"/>
      <c r="J19" s="5"/>
      <c r="K19" s="5"/>
      <c r="L19" s="8"/>
      <c r="M19" s="73"/>
      <c r="N19" s="1"/>
      <c r="O19" s="1"/>
      <c r="P19" s="1"/>
      <c r="Q19" s="1"/>
      <c r="R19" s="1"/>
    </row>
    <row r="20" spans="2:18" ht="43.5" customHeight="1">
      <c r="B20" s="57"/>
      <c r="C20" s="65"/>
      <c r="D20" s="150"/>
      <c r="E20" s="4"/>
      <c r="F20" s="929" t="s">
        <v>197</v>
      </c>
      <c r="G20" s="930"/>
      <c r="H20" s="931"/>
      <c r="I20" s="8" t="s">
        <v>205</v>
      </c>
      <c r="J20" s="8" t="s">
        <v>206</v>
      </c>
      <c r="K20" s="8" t="s">
        <v>207</v>
      </c>
      <c r="L20" s="135" t="s">
        <v>208</v>
      </c>
      <c r="M20" s="73"/>
      <c r="N20" s="1"/>
      <c r="O20" s="1"/>
      <c r="P20" s="1"/>
      <c r="Q20" s="1"/>
      <c r="R20" s="1"/>
    </row>
    <row r="21" spans="2:18" ht="18" customHeight="1">
      <c r="B21" s="57"/>
      <c r="C21" s="242" t="s">
        <v>398</v>
      </c>
      <c r="D21" s="243" t="s">
        <v>275</v>
      </c>
      <c r="E21" s="69">
        <v>100000</v>
      </c>
      <c r="F21" s="69">
        <v>117</v>
      </c>
      <c r="G21" s="801">
        <v>0.0029</v>
      </c>
      <c r="H21" s="801">
        <v>0.0002</v>
      </c>
      <c r="I21" s="191">
        <f>$E21*F21/2205</f>
        <v>5306.122448979592</v>
      </c>
      <c r="J21" s="803">
        <f>$E21*G21/2205</f>
        <v>0.13151927437641722</v>
      </c>
      <c r="K21" s="803">
        <f>$E21*H21/2205</f>
        <v>0.009070294784580499</v>
      </c>
      <c r="L21" s="553">
        <f>I21+(J21*21)+(K21*310)</f>
        <v>5311.696145124717</v>
      </c>
      <c r="M21" s="70"/>
      <c r="N21" s="1"/>
      <c r="O21" s="1"/>
      <c r="P21" s="1"/>
      <c r="Q21" s="1"/>
      <c r="R21" s="1"/>
    </row>
    <row r="22" spans="2:18" ht="18" customHeight="1">
      <c r="B22" s="82"/>
      <c r="C22" s="41" t="s">
        <v>272</v>
      </c>
      <c r="D22" s="153" t="s">
        <v>270</v>
      </c>
      <c r="E22" s="12"/>
      <c r="F22" s="11"/>
      <c r="G22" s="11"/>
      <c r="H22" s="11"/>
      <c r="I22" s="137"/>
      <c r="J22" s="137"/>
      <c r="K22" s="137"/>
      <c r="L22" s="12"/>
      <c r="M22" s="74"/>
      <c r="N22" s="1"/>
      <c r="O22" s="1"/>
      <c r="P22" s="1"/>
      <c r="Q22" s="1"/>
      <c r="R22" s="1"/>
    </row>
    <row r="23" spans="2:18" ht="18" customHeight="1">
      <c r="B23" s="57"/>
      <c r="C23" s="679"/>
      <c r="D23" s="680"/>
      <c r="E23" s="653"/>
      <c r="F23" s="653"/>
      <c r="G23" s="802"/>
      <c r="H23" s="802"/>
      <c r="I23" s="138">
        <f>$E23*F23/2205</f>
        <v>0</v>
      </c>
      <c r="J23" s="804">
        <f aca="true" t="shared" si="0" ref="J23:K36">$E23*G23/2205</f>
        <v>0</v>
      </c>
      <c r="K23" s="804">
        <f t="shared" si="0"/>
        <v>0</v>
      </c>
      <c r="L23" s="138">
        <f>I23+(J23*21)+(K23*310)</f>
        <v>0</v>
      </c>
      <c r="M23" s="75"/>
      <c r="N23" s="1"/>
      <c r="O23" s="1"/>
      <c r="P23" s="1"/>
      <c r="Q23" s="1"/>
      <c r="R23" s="1"/>
    </row>
    <row r="24" spans="2:18" ht="18" customHeight="1">
      <c r="B24" s="57"/>
      <c r="C24" s="679"/>
      <c r="D24" s="680"/>
      <c r="E24" s="653"/>
      <c r="F24" s="653"/>
      <c r="G24" s="802"/>
      <c r="H24" s="802"/>
      <c r="I24" s="138">
        <f aca="true" t="shared" si="1" ref="I24:I36">$E24*F24/2205</f>
        <v>0</v>
      </c>
      <c r="J24" s="804">
        <f t="shared" si="0"/>
        <v>0</v>
      </c>
      <c r="K24" s="804">
        <f t="shared" si="0"/>
        <v>0</v>
      </c>
      <c r="L24" s="138">
        <f aca="true" t="shared" si="2" ref="L24:L36">I24+(J24*21)+(K24*310)</f>
        <v>0</v>
      </c>
      <c r="M24" s="75"/>
      <c r="N24" s="1"/>
      <c r="O24" s="1"/>
      <c r="P24" s="1"/>
      <c r="Q24" s="1"/>
      <c r="R24" s="1"/>
    </row>
    <row r="25" spans="2:18" ht="18" customHeight="1">
      <c r="B25" s="57"/>
      <c r="C25" s="679"/>
      <c r="D25" s="680"/>
      <c r="E25" s="653"/>
      <c r="F25" s="653"/>
      <c r="G25" s="802"/>
      <c r="H25" s="802"/>
      <c r="I25" s="138">
        <f t="shared" si="1"/>
        <v>0</v>
      </c>
      <c r="J25" s="804">
        <f t="shared" si="0"/>
        <v>0</v>
      </c>
      <c r="K25" s="804">
        <f t="shared" si="0"/>
        <v>0</v>
      </c>
      <c r="L25" s="138">
        <f t="shared" si="2"/>
        <v>0</v>
      </c>
      <c r="M25" s="75"/>
      <c r="N25" s="1"/>
      <c r="O25" s="1"/>
      <c r="P25" s="1"/>
      <c r="Q25" s="1"/>
      <c r="R25" s="1"/>
    </row>
    <row r="26" spans="2:18" ht="18" customHeight="1">
      <c r="B26" s="57"/>
      <c r="C26" s="679"/>
      <c r="D26" s="680"/>
      <c r="E26" s="653"/>
      <c r="F26" s="653"/>
      <c r="G26" s="802"/>
      <c r="H26" s="802"/>
      <c r="I26" s="138">
        <f t="shared" si="1"/>
        <v>0</v>
      </c>
      <c r="J26" s="804">
        <f t="shared" si="0"/>
        <v>0</v>
      </c>
      <c r="K26" s="804">
        <f t="shared" si="0"/>
        <v>0</v>
      </c>
      <c r="L26" s="138">
        <f t="shared" si="2"/>
        <v>0</v>
      </c>
      <c r="M26" s="75"/>
      <c r="N26" s="1"/>
      <c r="O26" s="1"/>
      <c r="P26" s="1"/>
      <c r="Q26" s="1"/>
      <c r="R26" s="1"/>
    </row>
    <row r="27" spans="2:18" ht="18" customHeight="1">
      <c r="B27" s="57"/>
      <c r="C27" s="679"/>
      <c r="D27" s="680"/>
      <c r="E27" s="653"/>
      <c r="F27" s="653"/>
      <c r="G27" s="802"/>
      <c r="H27" s="802"/>
      <c r="I27" s="138">
        <f t="shared" si="1"/>
        <v>0</v>
      </c>
      <c r="J27" s="804">
        <f t="shared" si="0"/>
        <v>0</v>
      </c>
      <c r="K27" s="804">
        <f t="shared" si="0"/>
        <v>0</v>
      </c>
      <c r="L27" s="138">
        <f t="shared" si="2"/>
        <v>0</v>
      </c>
      <c r="M27" s="75"/>
      <c r="N27" s="1"/>
      <c r="O27" s="1"/>
      <c r="P27" s="1"/>
      <c r="Q27" s="1"/>
      <c r="R27" s="1"/>
    </row>
    <row r="28" spans="2:18" ht="18" customHeight="1">
      <c r="B28" s="57"/>
      <c r="C28" s="679"/>
      <c r="D28" s="681"/>
      <c r="E28" s="653"/>
      <c r="F28" s="653"/>
      <c r="G28" s="802"/>
      <c r="H28" s="802"/>
      <c r="I28" s="138">
        <f t="shared" si="1"/>
        <v>0</v>
      </c>
      <c r="J28" s="804">
        <f t="shared" si="0"/>
        <v>0</v>
      </c>
      <c r="K28" s="804">
        <f t="shared" si="0"/>
        <v>0</v>
      </c>
      <c r="L28" s="138">
        <f t="shared" si="2"/>
        <v>0</v>
      </c>
      <c r="M28" s="75"/>
      <c r="N28" s="1"/>
      <c r="O28" s="1"/>
      <c r="P28" s="1"/>
      <c r="Q28" s="1"/>
      <c r="R28" s="1"/>
    </row>
    <row r="29" spans="2:18" ht="18" customHeight="1">
      <c r="B29" s="57"/>
      <c r="C29" s="679"/>
      <c r="D29" s="680"/>
      <c r="E29" s="653"/>
      <c r="F29" s="653"/>
      <c r="G29" s="802"/>
      <c r="H29" s="802"/>
      <c r="I29" s="138">
        <f t="shared" si="1"/>
        <v>0</v>
      </c>
      <c r="J29" s="804">
        <f t="shared" si="0"/>
        <v>0</v>
      </c>
      <c r="K29" s="804">
        <f t="shared" si="0"/>
        <v>0</v>
      </c>
      <c r="L29" s="138">
        <f t="shared" si="2"/>
        <v>0</v>
      </c>
      <c r="M29" s="75"/>
      <c r="N29" s="1"/>
      <c r="O29" s="1"/>
      <c r="P29" s="1"/>
      <c r="Q29" s="1"/>
      <c r="R29" s="1"/>
    </row>
    <row r="30" spans="2:18" ht="18" customHeight="1">
      <c r="B30" s="57"/>
      <c r="C30" s="679"/>
      <c r="D30" s="680"/>
      <c r="E30" s="653"/>
      <c r="F30" s="653"/>
      <c r="G30" s="802"/>
      <c r="H30" s="802"/>
      <c r="I30" s="138">
        <f t="shared" si="1"/>
        <v>0</v>
      </c>
      <c r="J30" s="804">
        <f t="shared" si="0"/>
        <v>0</v>
      </c>
      <c r="K30" s="804">
        <f t="shared" si="0"/>
        <v>0</v>
      </c>
      <c r="L30" s="138">
        <f t="shared" si="2"/>
        <v>0</v>
      </c>
      <c r="M30" s="75"/>
      <c r="N30" s="1"/>
      <c r="O30" s="1"/>
      <c r="P30" s="1"/>
      <c r="Q30" s="1"/>
      <c r="R30" s="1"/>
    </row>
    <row r="31" spans="2:18" ht="18" customHeight="1">
      <c r="B31" s="57"/>
      <c r="C31" s="679"/>
      <c r="D31" s="680"/>
      <c r="E31" s="656"/>
      <c r="F31" s="653"/>
      <c r="G31" s="802"/>
      <c r="H31" s="802"/>
      <c r="I31" s="138">
        <f t="shared" si="1"/>
        <v>0</v>
      </c>
      <c r="J31" s="804">
        <f t="shared" si="0"/>
        <v>0</v>
      </c>
      <c r="K31" s="804">
        <f t="shared" si="0"/>
        <v>0</v>
      </c>
      <c r="L31" s="138">
        <f t="shared" si="2"/>
        <v>0</v>
      </c>
      <c r="M31" s="75"/>
      <c r="N31" s="1"/>
      <c r="O31" s="1"/>
      <c r="P31" s="1"/>
      <c r="Q31" s="1"/>
      <c r="R31" s="1"/>
    </row>
    <row r="32" spans="2:20" ht="18" customHeight="1">
      <c r="B32" s="57"/>
      <c r="C32" s="679"/>
      <c r="D32" s="680"/>
      <c r="E32" s="656"/>
      <c r="F32" s="653"/>
      <c r="G32" s="802"/>
      <c r="H32" s="802"/>
      <c r="I32" s="138">
        <f t="shared" si="1"/>
        <v>0</v>
      </c>
      <c r="J32" s="804">
        <f t="shared" si="0"/>
        <v>0</v>
      </c>
      <c r="K32" s="804">
        <f t="shared" si="0"/>
        <v>0</v>
      </c>
      <c r="L32" s="138">
        <f t="shared" si="2"/>
        <v>0</v>
      </c>
      <c r="M32" s="75"/>
      <c r="N32" s="1"/>
      <c r="O32" s="1"/>
      <c r="P32" s="1"/>
      <c r="Q32" s="1"/>
      <c r="R32" s="1"/>
      <c r="S32" s="1"/>
      <c r="T32" s="1"/>
    </row>
    <row r="33" spans="2:20" ht="18" customHeight="1">
      <c r="B33" s="57"/>
      <c r="C33" s="679"/>
      <c r="D33" s="680"/>
      <c r="E33" s="656"/>
      <c r="F33" s="653"/>
      <c r="G33" s="802"/>
      <c r="H33" s="802"/>
      <c r="I33" s="138">
        <f t="shared" si="1"/>
        <v>0</v>
      </c>
      <c r="J33" s="804">
        <f t="shared" si="0"/>
        <v>0</v>
      </c>
      <c r="K33" s="804">
        <f t="shared" si="0"/>
        <v>0</v>
      </c>
      <c r="L33" s="138">
        <f t="shared" si="2"/>
        <v>0</v>
      </c>
      <c r="M33" s="75"/>
      <c r="N33" s="1"/>
      <c r="O33" s="1"/>
      <c r="P33" s="1"/>
      <c r="Q33" s="1"/>
      <c r="R33" s="1"/>
      <c r="S33" s="1"/>
      <c r="T33" s="1"/>
    </row>
    <row r="34" spans="2:20" ht="18" customHeight="1">
      <c r="B34" s="57"/>
      <c r="C34" s="679"/>
      <c r="D34" s="680"/>
      <c r="E34" s="656"/>
      <c r="F34" s="653"/>
      <c r="G34" s="802"/>
      <c r="H34" s="802"/>
      <c r="I34" s="138">
        <f t="shared" si="1"/>
        <v>0</v>
      </c>
      <c r="J34" s="804">
        <f t="shared" si="0"/>
        <v>0</v>
      </c>
      <c r="K34" s="804">
        <f t="shared" si="0"/>
        <v>0</v>
      </c>
      <c r="L34" s="138">
        <f t="shared" si="2"/>
        <v>0</v>
      </c>
      <c r="M34" s="75"/>
      <c r="N34" s="1"/>
      <c r="O34" s="1"/>
      <c r="P34" s="1"/>
      <c r="Q34" s="1"/>
      <c r="R34" s="1"/>
      <c r="S34" s="1"/>
      <c r="T34" s="1"/>
    </row>
    <row r="35" spans="2:20" ht="18" customHeight="1">
      <c r="B35" s="57"/>
      <c r="C35" s="679"/>
      <c r="D35" s="682"/>
      <c r="E35" s="656"/>
      <c r="F35" s="653"/>
      <c r="G35" s="802"/>
      <c r="H35" s="802"/>
      <c r="I35" s="138">
        <f t="shared" si="1"/>
        <v>0</v>
      </c>
      <c r="J35" s="804">
        <f t="shared" si="0"/>
        <v>0</v>
      </c>
      <c r="K35" s="804">
        <f t="shared" si="0"/>
        <v>0</v>
      </c>
      <c r="L35" s="138">
        <f t="shared" si="2"/>
        <v>0</v>
      </c>
      <c r="M35" s="75"/>
      <c r="N35" s="1"/>
      <c r="O35" s="1"/>
      <c r="P35" s="1"/>
      <c r="Q35" s="1"/>
      <c r="R35" s="1"/>
      <c r="S35" s="1"/>
      <c r="T35" s="1"/>
    </row>
    <row r="36" spans="2:13" ht="18" customHeight="1">
      <c r="B36" s="57"/>
      <c r="C36" s="679"/>
      <c r="D36" s="680"/>
      <c r="E36" s="656"/>
      <c r="F36" s="653"/>
      <c r="G36" s="802"/>
      <c r="H36" s="802"/>
      <c r="I36" s="138">
        <f t="shared" si="1"/>
        <v>0</v>
      </c>
      <c r="J36" s="804">
        <f t="shared" si="0"/>
        <v>0</v>
      </c>
      <c r="K36" s="804">
        <f t="shared" si="0"/>
        <v>0</v>
      </c>
      <c r="L36" s="138">
        <f t="shared" si="2"/>
        <v>0</v>
      </c>
      <c r="M36" s="75"/>
    </row>
    <row r="37" spans="2:13" ht="18" customHeight="1">
      <c r="B37" s="78"/>
      <c r="C37" s="79"/>
      <c r="D37" s="154"/>
      <c r="E37" s="154"/>
      <c r="F37" s="79"/>
      <c r="G37" s="79"/>
      <c r="H37" s="79"/>
      <c r="I37" s="600" t="s">
        <v>209</v>
      </c>
      <c r="J37" s="600" t="s">
        <v>210</v>
      </c>
      <c r="K37" s="600" t="s">
        <v>211</v>
      </c>
      <c r="L37" s="600" t="s">
        <v>212</v>
      </c>
      <c r="M37" s="76"/>
    </row>
    <row r="38" spans="2:13" ht="18" customHeight="1">
      <c r="B38" s="78"/>
      <c r="C38" s="79"/>
      <c r="D38" s="154"/>
      <c r="E38" s="154"/>
      <c r="F38" s="79"/>
      <c r="G38" s="917" t="s">
        <v>498</v>
      </c>
      <c r="H38" s="918"/>
      <c r="I38" s="140">
        <f>SUM(I23:I36)</f>
        <v>0</v>
      </c>
      <c r="J38" s="140">
        <f>SUM(J23:J36)</f>
        <v>0</v>
      </c>
      <c r="K38" s="140">
        <f>SUM(K23:K36)</f>
        <v>0</v>
      </c>
      <c r="L38" s="140">
        <f>SUM(L23:L36)</f>
        <v>0</v>
      </c>
      <c r="M38" s="598" t="s">
        <v>625</v>
      </c>
    </row>
    <row r="39" spans="2:13" ht="18" customHeight="1" thickBot="1">
      <c r="B39" s="80"/>
      <c r="C39" s="81"/>
      <c r="D39" s="155"/>
      <c r="E39" s="155"/>
      <c r="F39" s="81"/>
      <c r="G39" s="81"/>
      <c r="H39" s="81"/>
      <c r="I39" s="81"/>
      <c r="J39" s="81"/>
      <c r="K39" s="81"/>
      <c r="L39" s="81"/>
      <c r="M39" s="187"/>
    </row>
    <row r="40" spans="2:11" ht="23.25" customHeight="1" thickTop="1">
      <c r="B40" s="19"/>
      <c r="C40" s="19"/>
      <c r="D40" s="19"/>
      <c r="E40" s="148"/>
      <c r="F40" s="158"/>
      <c r="G40" s="166"/>
      <c r="H40" s="1"/>
      <c r="I40" s="1"/>
      <c r="J40" s="1"/>
      <c r="K40" s="1"/>
    </row>
    <row r="41" spans="2:11" ht="18" customHeight="1">
      <c r="B41" s="19"/>
      <c r="C41" s="179"/>
      <c r="D41" s="179"/>
      <c r="E41" s="176"/>
      <c r="F41" s="176"/>
      <c r="G41" s="176"/>
      <c r="H41" s="2"/>
      <c r="I41" s="1"/>
      <c r="J41" s="1"/>
      <c r="K41" s="1"/>
    </row>
    <row r="42" ht="18" customHeight="1" thickBot="1"/>
    <row r="43" spans="2:9" ht="18" customHeight="1" thickTop="1">
      <c r="B43" s="87"/>
      <c r="C43" s="88"/>
      <c r="D43" s="924" t="s">
        <v>15</v>
      </c>
      <c r="E43" s="925"/>
      <c r="F43" s="925"/>
      <c r="G43" s="925"/>
      <c r="H43" s="88"/>
      <c r="I43" s="85"/>
    </row>
    <row r="44" spans="2:9" ht="31.5" customHeight="1">
      <c r="B44" s="89"/>
      <c r="C44" s="709"/>
      <c r="D44" s="926"/>
      <c r="E44" s="926"/>
      <c r="F44" s="926"/>
      <c r="G44" s="926"/>
      <c r="H44" s="93"/>
      <c r="I44" s="86"/>
    </row>
    <row r="45" spans="2:9" ht="66.75" customHeight="1">
      <c r="B45" s="89"/>
      <c r="C45" s="39" t="s">
        <v>270</v>
      </c>
      <c r="D45" s="34" t="s">
        <v>454</v>
      </c>
      <c r="E45" s="34" t="s">
        <v>455</v>
      </c>
      <c r="F45" s="34" t="s">
        <v>456</v>
      </c>
      <c r="G45" s="711" t="s">
        <v>457</v>
      </c>
      <c r="H45" s="714" t="s">
        <v>286</v>
      </c>
      <c r="I45" s="86"/>
    </row>
    <row r="46" spans="2:9" ht="18" customHeight="1">
      <c r="B46" s="89"/>
      <c r="C46" s="43" t="s">
        <v>303</v>
      </c>
      <c r="D46" s="184"/>
      <c r="E46" s="184"/>
      <c r="F46" s="184"/>
      <c r="G46" s="184"/>
      <c r="H46" s="41"/>
      <c r="I46" s="86"/>
    </row>
    <row r="47" spans="2:9" ht="38.25">
      <c r="B47" s="89"/>
      <c r="C47" s="40" t="s">
        <v>273</v>
      </c>
      <c r="D47" s="40">
        <v>157</v>
      </c>
      <c r="E47" s="40"/>
      <c r="F47" s="40"/>
      <c r="G47" s="712">
        <f>D47+21*E47+310*F47</f>
        <v>157</v>
      </c>
      <c r="H47" s="715" t="s">
        <v>291</v>
      </c>
      <c r="I47" s="86"/>
    </row>
    <row r="48" spans="2:9" ht="25.5">
      <c r="B48" s="89"/>
      <c r="C48" s="40" t="s">
        <v>500</v>
      </c>
      <c r="D48" s="40">
        <v>162</v>
      </c>
      <c r="E48" s="40">
        <v>0.0004</v>
      </c>
      <c r="F48" s="40">
        <v>0.0009</v>
      </c>
      <c r="G48" s="712">
        <f>D48+21*E48+310*F48</f>
        <v>162.2874</v>
      </c>
      <c r="H48" s="715"/>
      <c r="I48" s="86"/>
    </row>
    <row r="49" spans="2:9" ht="27" customHeight="1">
      <c r="B49" s="89"/>
      <c r="C49" s="40" t="s">
        <v>501</v>
      </c>
      <c r="D49" s="40">
        <v>169</v>
      </c>
      <c r="E49" s="40">
        <v>0.007</v>
      </c>
      <c r="F49" s="40">
        <v>0.0007</v>
      </c>
      <c r="G49" s="712">
        <f>D49+21*E49+310*F49</f>
        <v>169.364</v>
      </c>
      <c r="H49" s="715"/>
      <c r="I49" s="86"/>
    </row>
    <row r="50" spans="2:9" ht="38.25">
      <c r="B50" s="89"/>
      <c r="C50" s="40" t="s">
        <v>260</v>
      </c>
      <c r="D50" s="40">
        <v>138</v>
      </c>
      <c r="E50" s="40"/>
      <c r="F50" s="40"/>
      <c r="G50" s="712">
        <f>D50+21*E50+310*F50</f>
        <v>138</v>
      </c>
      <c r="H50" s="715" t="s">
        <v>291</v>
      </c>
      <c r="I50" s="86"/>
    </row>
    <row r="51" spans="2:9" ht="30.75" customHeight="1">
      <c r="B51" s="89"/>
      <c r="C51" s="42" t="s">
        <v>302</v>
      </c>
      <c r="D51" s="42"/>
      <c r="E51" s="42"/>
      <c r="F51" s="42"/>
      <c r="G51" s="184"/>
      <c r="H51" s="41"/>
      <c r="I51" s="86"/>
    </row>
    <row r="52" spans="2:9" ht="29.25" customHeight="1">
      <c r="B52" s="89"/>
      <c r="C52" s="40" t="s">
        <v>541</v>
      </c>
      <c r="D52" s="40">
        <v>117</v>
      </c>
      <c r="E52" s="40">
        <v>0.0029</v>
      </c>
      <c r="F52" s="40">
        <v>0.0002</v>
      </c>
      <c r="G52" s="712">
        <f aca="true" t="shared" si="3" ref="G52:G57">D52+21*E52+310*F52</f>
        <v>117.1229</v>
      </c>
      <c r="H52" s="715" t="s">
        <v>287</v>
      </c>
      <c r="I52" s="86"/>
    </row>
    <row r="53" spans="2:9" ht="29.25" customHeight="1">
      <c r="B53" s="89"/>
      <c r="C53" s="40" t="s">
        <v>613</v>
      </c>
      <c r="D53" s="40">
        <v>117</v>
      </c>
      <c r="E53" s="40">
        <v>0.001</v>
      </c>
      <c r="F53" s="40">
        <v>0.0002</v>
      </c>
      <c r="G53" s="712">
        <f t="shared" si="3"/>
        <v>117.083</v>
      </c>
      <c r="H53" s="715" t="s">
        <v>287</v>
      </c>
      <c r="I53" s="86"/>
    </row>
    <row r="54" spans="2:9" ht="31.5" customHeight="1">
      <c r="B54" s="89"/>
      <c r="C54" s="40" t="s">
        <v>173</v>
      </c>
      <c r="D54" s="40">
        <v>117</v>
      </c>
      <c r="E54" s="40">
        <v>0.036</v>
      </c>
      <c r="F54" s="40">
        <v>0.0002</v>
      </c>
      <c r="G54" s="712">
        <f t="shared" si="3"/>
        <v>117.818</v>
      </c>
      <c r="H54" s="715" t="s">
        <v>287</v>
      </c>
      <c r="I54" s="86"/>
    </row>
    <row r="55" spans="2:9" ht="31.5" customHeight="1">
      <c r="B55" s="89"/>
      <c r="C55" s="40" t="s">
        <v>174</v>
      </c>
      <c r="D55" s="40">
        <v>117</v>
      </c>
      <c r="E55" s="40">
        <v>0.027</v>
      </c>
      <c r="F55" s="40">
        <v>0.0002</v>
      </c>
      <c r="G55" s="712">
        <f t="shared" si="3"/>
        <v>117.62899999999999</v>
      </c>
      <c r="H55" s="715" t="s">
        <v>287</v>
      </c>
      <c r="I55" s="86"/>
    </row>
    <row r="56" spans="2:9" ht="31.5" customHeight="1">
      <c r="B56" s="89"/>
      <c r="C56" s="40" t="s">
        <v>175</v>
      </c>
      <c r="D56" s="40">
        <v>117</v>
      </c>
      <c r="E56" s="40">
        <v>0.0061</v>
      </c>
      <c r="F56" s="40">
        <v>0.0002</v>
      </c>
      <c r="G56" s="712">
        <f t="shared" si="3"/>
        <v>117.1901</v>
      </c>
      <c r="H56" s="715" t="s">
        <v>287</v>
      </c>
      <c r="I56" s="86"/>
    </row>
    <row r="57" spans="2:9" ht="31.5" customHeight="1">
      <c r="B57" s="89"/>
      <c r="C57" s="40" t="s">
        <v>288</v>
      </c>
      <c r="D57" s="40">
        <v>117</v>
      </c>
      <c r="E57" s="40">
        <v>0.01</v>
      </c>
      <c r="F57" s="40">
        <v>0.0002</v>
      </c>
      <c r="G57" s="712">
        <f t="shared" si="3"/>
        <v>117.27199999999999</v>
      </c>
      <c r="H57" s="715" t="s">
        <v>289</v>
      </c>
      <c r="I57" s="86"/>
    </row>
    <row r="58" spans="2:9" ht="38.25">
      <c r="B58" s="89"/>
      <c r="C58" s="40" t="s">
        <v>569</v>
      </c>
      <c r="D58" s="168" t="s">
        <v>458</v>
      </c>
      <c r="E58" s="40"/>
      <c r="F58" s="40"/>
      <c r="G58" s="713" t="s">
        <v>458</v>
      </c>
      <c r="H58" s="715" t="s">
        <v>292</v>
      </c>
      <c r="I58" s="86"/>
    </row>
    <row r="59" spans="2:9" ht="30.75" customHeight="1">
      <c r="B59" s="89"/>
      <c r="C59" s="42" t="s">
        <v>304</v>
      </c>
      <c r="D59" s="42"/>
      <c r="E59" s="42"/>
      <c r="F59" s="42"/>
      <c r="G59" s="184"/>
      <c r="H59" s="41"/>
      <c r="I59" s="86"/>
    </row>
    <row r="60" spans="2:9" ht="28.5" customHeight="1">
      <c r="B60" s="89"/>
      <c r="C60" s="40" t="s">
        <v>261</v>
      </c>
      <c r="D60" s="774">
        <v>213</v>
      </c>
      <c r="E60" s="40">
        <v>0.02</v>
      </c>
      <c r="F60" s="40">
        <v>0.0031</v>
      </c>
      <c r="G60" s="712">
        <f aca="true" t="shared" si="4" ref="G60:G72">D60+21*E60+310*F60</f>
        <v>214.381</v>
      </c>
      <c r="H60" s="715" t="s">
        <v>289</v>
      </c>
      <c r="I60" s="86"/>
    </row>
    <row r="61" spans="2:9" ht="29.25" customHeight="1">
      <c r="B61" s="89"/>
      <c r="C61" s="40" t="s">
        <v>548</v>
      </c>
      <c r="D61" s="774">
        <v>205</v>
      </c>
      <c r="E61" s="40">
        <v>0.002</v>
      </c>
      <c r="F61" s="40">
        <v>0.0035</v>
      </c>
      <c r="G61" s="712">
        <f t="shared" si="4"/>
        <v>206.127</v>
      </c>
      <c r="H61" s="715"/>
      <c r="I61" s="86"/>
    </row>
    <row r="62" spans="2:9" ht="29.25" customHeight="1">
      <c r="B62" s="89"/>
      <c r="C62" s="40" t="s">
        <v>549</v>
      </c>
      <c r="D62" s="774">
        <v>205</v>
      </c>
      <c r="E62" s="40">
        <v>0.031</v>
      </c>
      <c r="F62" s="40">
        <v>0.0035</v>
      </c>
      <c r="G62" s="712">
        <f t="shared" si="4"/>
        <v>206.73600000000002</v>
      </c>
      <c r="H62" s="715"/>
      <c r="I62" s="86"/>
    </row>
    <row r="63" spans="2:9" ht="33" customHeight="1">
      <c r="B63" s="89"/>
      <c r="C63" s="40" t="s">
        <v>550</v>
      </c>
      <c r="D63" s="774">
        <v>205</v>
      </c>
      <c r="E63" s="40">
        <v>0.0015</v>
      </c>
      <c r="F63" s="40">
        <v>0.0035</v>
      </c>
      <c r="G63" s="712">
        <f t="shared" si="4"/>
        <v>206.1165</v>
      </c>
      <c r="H63" s="715"/>
      <c r="I63" s="86"/>
    </row>
    <row r="64" spans="2:9" s="171" customFormat="1" ht="33" customHeight="1">
      <c r="B64" s="89"/>
      <c r="C64" s="40" t="s">
        <v>551</v>
      </c>
      <c r="D64" s="774">
        <v>205</v>
      </c>
      <c r="E64" s="40">
        <v>0.0015</v>
      </c>
      <c r="F64" s="40">
        <v>0.001</v>
      </c>
      <c r="G64" s="712">
        <f t="shared" si="4"/>
        <v>205.3415</v>
      </c>
      <c r="H64" s="715"/>
      <c r="I64" s="86"/>
    </row>
    <row r="65" spans="2:9" ht="33.75" customHeight="1">
      <c r="B65" s="89"/>
      <c r="C65" s="40" t="s">
        <v>552</v>
      </c>
      <c r="D65" s="774">
        <v>205</v>
      </c>
      <c r="E65" s="40">
        <v>0.002</v>
      </c>
      <c r="F65" s="40">
        <v>0.0035</v>
      </c>
      <c r="G65" s="712">
        <f t="shared" si="4"/>
        <v>206.127</v>
      </c>
      <c r="H65" s="715"/>
      <c r="I65" s="86"/>
    </row>
    <row r="66" spans="2:9" ht="30.75" customHeight="1">
      <c r="B66" s="89"/>
      <c r="C66" s="40" t="s">
        <v>553</v>
      </c>
      <c r="D66" s="774">
        <v>205</v>
      </c>
      <c r="E66" s="40">
        <v>0.002</v>
      </c>
      <c r="F66" s="40">
        <v>0.0035</v>
      </c>
      <c r="G66" s="712">
        <f t="shared" si="4"/>
        <v>206.127</v>
      </c>
      <c r="H66" s="715"/>
      <c r="I66" s="86"/>
    </row>
    <row r="67" spans="2:9" s="171" customFormat="1" ht="30.75" customHeight="1">
      <c r="B67" s="89"/>
      <c r="C67" s="40" t="s">
        <v>554</v>
      </c>
      <c r="D67" s="774">
        <v>205</v>
      </c>
      <c r="E67" s="40">
        <v>0.002</v>
      </c>
      <c r="F67" s="40">
        <v>0.21</v>
      </c>
      <c r="G67" s="712">
        <f t="shared" si="4"/>
        <v>270.142</v>
      </c>
      <c r="H67" s="715"/>
      <c r="I67" s="86"/>
    </row>
    <row r="68" spans="2:9" ht="30.75" customHeight="1">
      <c r="B68" s="89"/>
      <c r="C68" s="40" t="s">
        <v>555</v>
      </c>
      <c r="D68" s="774">
        <v>208</v>
      </c>
      <c r="E68" s="40">
        <v>0.002</v>
      </c>
      <c r="F68" s="40">
        <v>0.0035</v>
      </c>
      <c r="G68" s="712">
        <f t="shared" si="4"/>
        <v>209.127</v>
      </c>
      <c r="H68" s="715"/>
      <c r="I68" s="86"/>
    </row>
    <row r="69" spans="2:9" ht="32.25" customHeight="1">
      <c r="B69" s="89"/>
      <c r="C69" s="40" t="s">
        <v>556</v>
      </c>
      <c r="D69" s="774">
        <v>208</v>
      </c>
      <c r="E69" s="40">
        <v>0.031</v>
      </c>
      <c r="F69" s="40">
        <v>0.0035</v>
      </c>
      <c r="G69" s="712">
        <f t="shared" si="4"/>
        <v>209.73600000000002</v>
      </c>
      <c r="H69" s="715"/>
      <c r="I69" s="86"/>
    </row>
    <row r="70" spans="2:9" ht="33" customHeight="1">
      <c r="B70" s="89"/>
      <c r="C70" s="40" t="s">
        <v>557</v>
      </c>
      <c r="D70" s="774">
        <v>208</v>
      </c>
      <c r="E70" s="40">
        <v>0.002</v>
      </c>
      <c r="F70" s="40">
        <v>0.21</v>
      </c>
      <c r="G70" s="712">
        <f t="shared" si="4"/>
        <v>273.142</v>
      </c>
      <c r="H70" s="715"/>
      <c r="I70" s="86"/>
    </row>
    <row r="71" spans="2:9" ht="25.5">
      <c r="B71" s="89"/>
      <c r="C71" s="40" t="s">
        <v>558</v>
      </c>
      <c r="D71" s="774">
        <v>219</v>
      </c>
      <c r="E71" s="40">
        <v>0.02</v>
      </c>
      <c r="F71" s="40">
        <v>0.0031</v>
      </c>
      <c r="G71" s="712">
        <f t="shared" si="4"/>
        <v>220.381</v>
      </c>
      <c r="H71" s="715" t="s">
        <v>289</v>
      </c>
      <c r="I71" s="86"/>
    </row>
    <row r="72" spans="2:9" ht="120" customHeight="1">
      <c r="B72" s="169"/>
      <c r="C72" s="167" t="s">
        <v>568</v>
      </c>
      <c r="D72" s="774">
        <v>232</v>
      </c>
      <c r="E72" s="167">
        <v>0.027</v>
      </c>
      <c r="F72" s="167">
        <v>0.009</v>
      </c>
      <c r="G72" s="712">
        <f t="shared" si="4"/>
        <v>235.357</v>
      </c>
      <c r="H72" s="716" t="s">
        <v>290</v>
      </c>
      <c r="I72" s="170"/>
    </row>
    <row r="73" spans="2:9" ht="18" customHeight="1">
      <c r="B73" s="89"/>
      <c r="C73" s="145" t="s">
        <v>406</v>
      </c>
      <c r="D73" s="145"/>
      <c r="E73" s="145"/>
      <c r="F73" s="145"/>
      <c r="G73" s="184"/>
      <c r="H73" s="717"/>
      <c r="I73" s="86"/>
    </row>
    <row r="74" spans="2:9" ht="129.75" customHeight="1">
      <c r="B74" s="89"/>
      <c r="C74" s="40" t="s">
        <v>402</v>
      </c>
      <c r="D74" s="40" t="s">
        <v>571</v>
      </c>
      <c r="E74" s="40">
        <v>0.027</v>
      </c>
      <c r="F74" s="40">
        <v>0.009</v>
      </c>
      <c r="G74" s="712">
        <f>21*E74+310*F74</f>
        <v>3.3569999999999993</v>
      </c>
      <c r="H74" s="716" t="s">
        <v>290</v>
      </c>
      <c r="I74" s="86"/>
    </row>
    <row r="75" spans="2:9" ht="129.75" customHeight="1">
      <c r="B75" s="89"/>
      <c r="C75" s="40" t="s">
        <v>298</v>
      </c>
      <c r="D75" s="40" t="s">
        <v>299</v>
      </c>
      <c r="E75" s="40">
        <v>0.027</v>
      </c>
      <c r="F75" s="40">
        <v>0.009</v>
      </c>
      <c r="G75" s="712">
        <f>21*E75+310*F75</f>
        <v>3.3569999999999993</v>
      </c>
      <c r="H75" s="716" t="s">
        <v>290</v>
      </c>
      <c r="I75" s="86"/>
    </row>
    <row r="76" spans="2:21" ht="12.75">
      <c r="B76" s="89"/>
      <c r="C76" s="129" t="s">
        <v>497</v>
      </c>
      <c r="D76" s="93"/>
      <c r="E76" s="156"/>
      <c r="F76" s="118"/>
      <c r="G76" s="118"/>
      <c r="H76" s="118"/>
      <c r="I76" s="705"/>
      <c r="J76" s="704"/>
      <c r="K76" s="704"/>
      <c r="L76" s="704"/>
      <c r="M76" s="704"/>
      <c r="N76" s="704"/>
      <c r="O76" s="704"/>
      <c r="P76" s="704"/>
      <c r="Q76" s="704"/>
      <c r="R76" s="704"/>
      <c r="U76" s="1"/>
    </row>
    <row r="77" spans="2:21" ht="12.75">
      <c r="B77" s="89"/>
      <c r="C77" s="129" t="s">
        <v>547</v>
      </c>
      <c r="D77" s="93"/>
      <c r="E77" s="156"/>
      <c r="F77" s="118"/>
      <c r="G77" s="118"/>
      <c r="H77" s="118"/>
      <c r="I77" s="705"/>
      <c r="J77" s="704"/>
      <c r="K77" s="704"/>
      <c r="L77" s="704"/>
      <c r="M77" s="704"/>
      <c r="N77" s="704"/>
      <c r="O77" s="704"/>
      <c r="P77" s="704"/>
      <c r="Q77" s="704"/>
      <c r="R77" s="704"/>
      <c r="U77" s="1"/>
    </row>
    <row r="78" spans="2:21" ht="12.75">
      <c r="B78" s="89"/>
      <c r="C78" s="129"/>
      <c r="D78" s="93"/>
      <c r="E78" s="156"/>
      <c r="F78" s="118"/>
      <c r="G78" s="118"/>
      <c r="H78" s="118"/>
      <c r="I78" s="705"/>
      <c r="J78" s="704"/>
      <c r="K78" s="704"/>
      <c r="L78" s="704"/>
      <c r="M78" s="704"/>
      <c r="N78" s="704"/>
      <c r="O78" s="704"/>
      <c r="P78" s="704"/>
      <c r="Q78" s="704"/>
      <c r="R78" s="704"/>
      <c r="U78" s="1"/>
    </row>
    <row r="79" spans="2:21" ht="73.5" customHeight="1">
      <c r="B79" s="89"/>
      <c r="C79" s="700" t="s">
        <v>399</v>
      </c>
      <c r="D79" s="921" t="s">
        <v>665</v>
      </c>
      <c r="E79" s="923"/>
      <c r="F79" s="923"/>
      <c r="G79" s="923"/>
      <c r="H79" s="290"/>
      <c r="I79" s="58"/>
      <c r="L79" s="703"/>
      <c r="M79" s="704"/>
      <c r="N79" s="704"/>
      <c r="O79" s="704"/>
      <c r="P79" s="704"/>
      <c r="Q79" s="704"/>
      <c r="R79" s="704"/>
      <c r="U79" s="1"/>
    </row>
    <row r="80" spans="2:21" ht="18" customHeight="1">
      <c r="B80" s="89"/>
      <c r="C80" s="93"/>
      <c r="D80" s="496"/>
      <c r="E80" s="496"/>
      <c r="F80" s="496"/>
      <c r="G80" s="569"/>
      <c r="H80" s="569"/>
      <c r="I80" s="58"/>
      <c r="L80" s="703"/>
      <c r="M80" s="704"/>
      <c r="N80" s="704"/>
      <c r="O80" s="704"/>
      <c r="P80" s="704"/>
      <c r="Q80" s="704"/>
      <c r="R80" s="704"/>
      <c r="U80" s="1"/>
    </row>
    <row r="81" spans="2:21" ht="51.75" customHeight="1">
      <c r="B81" s="89"/>
      <c r="C81" s="93"/>
      <c r="D81" s="921" t="s">
        <v>496</v>
      </c>
      <c r="E81" s="922"/>
      <c r="F81" s="922"/>
      <c r="G81" s="922"/>
      <c r="H81" s="701"/>
      <c r="I81" s="58"/>
      <c r="L81" s="703"/>
      <c r="M81" s="704"/>
      <c r="N81" s="704"/>
      <c r="O81" s="704"/>
      <c r="P81" s="704"/>
      <c r="Q81" s="704"/>
      <c r="R81" s="704"/>
      <c r="U81" s="1"/>
    </row>
    <row r="82" spans="2:21" ht="13.5" thickBot="1">
      <c r="B82" s="90"/>
      <c r="C82" s="91"/>
      <c r="D82" s="91"/>
      <c r="E82" s="157"/>
      <c r="F82" s="157"/>
      <c r="G82" s="157"/>
      <c r="H82" s="157"/>
      <c r="I82" s="706"/>
      <c r="J82" s="707"/>
      <c r="K82" s="708"/>
      <c r="L82" s="708"/>
      <c r="M82" s="708"/>
      <c r="N82" s="708"/>
      <c r="O82" s="708"/>
      <c r="P82" s="708"/>
      <c r="Q82" s="708"/>
      <c r="R82" s="708"/>
      <c r="S82" s="1"/>
      <c r="T82" s="1"/>
      <c r="U82" s="1"/>
    </row>
    <row r="83" spans="4:6" ht="13.5" thickTop="1">
      <c r="D83" s="702"/>
      <c r="E83" s="702"/>
      <c r="F83" s="702"/>
    </row>
    <row r="84" spans="4:6" ht="12.75">
      <c r="D84" s="702"/>
      <c r="E84" s="702"/>
      <c r="F84" s="702"/>
    </row>
    <row r="85" spans="4:6" ht="12.75">
      <c r="D85" s="703"/>
      <c r="E85" s="703"/>
      <c r="F85" s="703"/>
    </row>
    <row r="86" spans="4:6" ht="12.75">
      <c r="D86" s="703"/>
      <c r="E86" s="703"/>
      <c r="F86" s="703"/>
    </row>
    <row r="87" spans="4:6" ht="12.75">
      <c r="D87" s="702"/>
      <c r="E87" s="702"/>
      <c r="F87" s="702"/>
    </row>
    <row r="88" spans="4:6" ht="12.75">
      <c r="D88" s="702"/>
      <c r="E88" s="702"/>
      <c r="F88" s="702"/>
    </row>
  </sheetData>
  <sheetProtection password="CD08" sheet="1" objects="1" scenarios="1"/>
  <mergeCells count="13">
    <mergeCell ref="B11:C11"/>
    <mergeCell ref="B12:C12"/>
    <mergeCell ref="F20:H20"/>
    <mergeCell ref="C4:G4"/>
    <mergeCell ref="C6:K6"/>
    <mergeCell ref="B9:C9"/>
    <mergeCell ref="B10:C10"/>
    <mergeCell ref="G38:H38"/>
    <mergeCell ref="I16:L16"/>
    <mergeCell ref="F16:H16"/>
    <mergeCell ref="D81:G81"/>
    <mergeCell ref="D79:G79"/>
    <mergeCell ref="D43:G44"/>
  </mergeCells>
  <printOptions horizontalCentered="1" verticalCentered="1"/>
  <pageMargins left="0.75" right="0.75" top="1" bottom="1" header="0.5" footer="0.5"/>
  <pageSetup fitToHeight="1" fitToWidth="1" horizontalDpi="600" verticalDpi="600" orientation="landscape" scale="45" r:id="rId1"/>
  <headerFooter alignWithMargins="0">
    <oddHeader>&amp;L&amp;D&amp;R&amp;F</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CJ113"/>
  <sheetViews>
    <sheetView zoomScale="75" zoomScaleNormal="75" zoomScalePageLayoutView="0" workbookViewId="0" topLeftCell="A1">
      <selection activeCell="A1" sqref="A1"/>
    </sheetView>
  </sheetViews>
  <sheetFormatPr defaultColWidth="9.140625" defaultRowHeight="12.75"/>
  <cols>
    <col min="1" max="1" width="3.57421875" style="294" customWidth="1"/>
    <col min="2" max="2" width="3.140625" style="294" customWidth="1"/>
    <col min="3" max="3" width="38.28125" style="294" customWidth="1"/>
    <col min="4" max="4" width="23.7109375" style="295" customWidth="1"/>
    <col min="5" max="5" width="18.421875" style="294" customWidth="1"/>
    <col min="6" max="6" width="23.28125" style="294" customWidth="1"/>
    <col min="7" max="7" width="20.28125" style="294" customWidth="1"/>
    <col min="8" max="8" width="19.57421875" style="294" customWidth="1"/>
    <col min="9" max="9" width="20.00390625" style="295" customWidth="1"/>
    <col min="10" max="10" width="18.7109375" style="294" customWidth="1"/>
    <col min="11" max="11" width="20.57421875" style="294" customWidth="1"/>
    <col min="12" max="12" width="20.421875" style="296" customWidth="1"/>
    <col min="13" max="13" width="22.00390625" style="296" customWidth="1"/>
    <col min="14" max="15" width="21.421875" style="294" customWidth="1"/>
    <col min="16" max="16" width="20.28125" style="294" customWidth="1"/>
    <col min="17" max="17" width="21.8515625" style="294" customWidth="1"/>
    <col min="18" max="18" width="21.00390625" style="294" customWidth="1"/>
    <col min="19" max="19" width="19.7109375" style="294" customWidth="1"/>
    <col min="20" max="20" width="14.421875" style="294" customWidth="1"/>
    <col min="21" max="21" width="17.28125" style="294" customWidth="1"/>
    <col min="22" max="22" width="34.00390625" style="294" customWidth="1"/>
    <col min="23" max="23" width="24.140625" style="294" customWidth="1"/>
    <col min="24" max="24" width="29.8515625" style="294" customWidth="1"/>
    <col min="25" max="25" width="28.7109375" style="294" customWidth="1"/>
    <col min="26" max="26" width="28.140625" style="294" customWidth="1"/>
    <col min="27" max="27" width="24.140625" style="294" customWidth="1"/>
    <col min="28" max="28" width="21.28125" style="294" customWidth="1"/>
    <col min="29" max="29" width="39.00390625" style="294" customWidth="1"/>
    <col min="30" max="30" width="23.7109375" style="294" customWidth="1"/>
    <col min="31" max="31" width="33.140625" style="294" customWidth="1"/>
    <col min="32" max="32" width="9.140625" style="294" customWidth="1"/>
    <col min="33" max="33" width="15.421875" style="294" customWidth="1"/>
    <col min="34" max="34" width="14.8515625" style="294" customWidth="1"/>
    <col min="35" max="35" width="9.140625" style="294" customWidth="1"/>
    <col min="36" max="36" width="10.421875" style="294" customWidth="1"/>
    <col min="37" max="37" width="10.7109375" style="294" customWidth="1"/>
    <col min="38" max="38" width="15.57421875" style="294" customWidth="1"/>
    <col min="39" max="16384" width="9.140625" style="294" customWidth="1"/>
  </cols>
  <sheetData>
    <row r="1" spans="2:15" s="4" customFormat="1" ht="30" customHeight="1">
      <c r="B1" s="261"/>
      <c r="C1" s="475" t="s">
        <v>515</v>
      </c>
      <c r="D1" s="260"/>
      <c r="E1" s="260"/>
      <c r="F1" s="260"/>
      <c r="G1" s="260"/>
      <c r="H1" s="292"/>
      <c r="I1" s="292"/>
      <c r="J1" s="292"/>
      <c r="K1" s="292"/>
      <c r="L1" s="292"/>
      <c r="M1" s="292"/>
      <c r="N1" s="292"/>
      <c r="O1" s="292"/>
    </row>
    <row r="2" spans="2:15" s="4" customFormat="1" ht="16.5" customHeight="1">
      <c r="B2" s="261"/>
      <c r="C2" s="15" t="s">
        <v>182</v>
      </c>
      <c r="D2" s="260"/>
      <c r="E2" s="260"/>
      <c r="F2" s="260"/>
      <c r="G2" s="260"/>
      <c r="H2" s="292"/>
      <c r="I2" s="292"/>
      <c r="J2" s="292"/>
      <c r="K2" s="292"/>
      <c r="L2" s="292"/>
      <c r="M2" s="292"/>
      <c r="N2" s="292"/>
      <c r="O2" s="292"/>
    </row>
    <row r="3" spans="2:15" s="4" customFormat="1" ht="16.5" customHeight="1">
      <c r="B3" s="261"/>
      <c r="C3" s="15"/>
      <c r="D3" s="260"/>
      <c r="E3" s="260"/>
      <c r="F3" s="260"/>
      <c r="G3" s="260"/>
      <c r="H3" s="292"/>
      <c r="I3" s="292"/>
      <c r="J3" s="292"/>
      <c r="K3" s="292"/>
      <c r="L3" s="292"/>
      <c r="M3" s="292"/>
      <c r="N3" s="292"/>
      <c r="O3" s="292"/>
    </row>
    <row r="4" spans="2:15" s="4" customFormat="1" ht="30" customHeight="1">
      <c r="B4" s="261"/>
      <c r="C4" s="933" t="s">
        <v>229</v>
      </c>
      <c r="D4" s="934"/>
      <c r="E4" s="934"/>
      <c r="F4" s="934"/>
      <c r="G4" s="934"/>
      <c r="H4" s="934"/>
      <c r="I4" s="935"/>
      <c r="J4" s="935"/>
      <c r="K4" s="936"/>
      <c r="L4" s="292"/>
      <c r="M4" s="292"/>
      <c r="N4" s="292"/>
      <c r="O4" s="292"/>
    </row>
    <row r="5" ht="18" customHeight="1"/>
    <row r="6" spans="3:15" ht="124.5" customHeight="1">
      <c r="C6" s="937" t="s">
        <v>45</v>
      </c>
      <c r="D6" s="881"/>
      <c r="E6" s="881"/>
      <c r="F6" s="881"/>
      <c r="G6" s="881"/>
      <c r="H6" s="881"/>
      <c r="I6" s="881"/>
      <c r="J6" s="881"/>
      <c r="K6" s="881"/>
      <c r="L6" s="881"/>
      <c r="M6" s="292"/>
      <c r="N6" s="293"/>
      <c r="O6" s="293"/>
    </row>
    <row r="7" spans="3:15" ht="19.5" customHeight="1" thickBot="1">
      <c r="C7" s="343"/>
      <c r="D7" s="292"/>
      <c r="E7" s="292"/>
      <c r="F7" s="292"/>
      <c r="G7" s="292"/>
      <c r="H7" s="292"/>
      <c r="I7" s="473"/>
      <c r="J7" s="292"/>
      <c r="K7" s="292"/>
      <c r="L7" s="292"/>
      <c r="M7" s="292"/>
      <c r="N7" s="293"/>
      <c r="O7" s="293"/>
    </row>
    <row r="8" spans="2:15" ht="19.5" customHeight="1" thickTop="1">
      <c r="B8" s="467" t="s">
        <v>177</v>
      </c>
      <c r="C8" s="461"/>
      <c r="D8" s="462"/>
      <c r="E8" s="463"/>
      <c r="F8" s="463"/>
      <c r="G8" s="463"/>
      <c r="H8" s="458"/>
      <c r="I8" s="623"/>
      <c r="J8" s="292"/>
      <c r="K8" s="292"/>
      <c r="L8" s="292"/>
      <c r="M8" s="292"/>
      <c r="N8" s="293"/>
      <c r="O8" s="293"/>
    </row>
    <row r="9" spans="2:15" ht="14.25" customHeight="1">
      <c r="B9" s="927" t="s">
        <v>403</v>
      </c>
      <c r="C9" s="928"/>
      <c r="D9" s="159"/>
      <c r="E9" s="166"/>
      <c r="F9" s="166"/>
      <c r="G9" s="166"/>
      <c r="H9" s="1"/>
      <c r="I9" s="624"/>
      <c r="J9" s="292"/>
      <c r="K9" s="292"/>
      <c r="L9" s="292"/>
      <c r="M9" s="292"/>
      <c r="N9" s="293"/>
      <c r="O9" s="293"/>
    </row>
    <row r="10" spans="2:15" ht="14.25" customHeight="1">
      <c r="B10" s="927" t="s">
        <v>404</v>
      </c>
      <c r="C10" s="928"/>
      <c r="D10" s="449" t="s">
        <v>573</v>
      </c>
      <c r="E10" s="2" t="s">
        <v>667</v>
      </c>
      <c r="F10" s="166"/>
      <c r="G10" s="166"/>
      <c r="H10" s="1"/>
      <c r="I10" s="624"/>
      <c r="J10" s="292"/>
      <c r="K10" s="292"/>
      <c r="L10" s="292"/>
      <c r="M10" s="292"/>
      <c r="N10" s="293"/>
      <c r="O10" s="293"/>
    </row>
    <row r="11" spans="2:15" ht="13.5" customHeight="1">
      <c r="B11" s="927" t="s">
        <v>464</v>
      </c>
      <c r="C11" s="928"/>
      <c r="D11" s="161"/>
      <c r="E11" s="166"/>
      <c r="F11" s="166"/>
      <c r="G11" s="166"/>
      <c r="H11" s="1"/>
      <c r="I11" s="624"/>
      <c r="J11" s="292"/>
      <c r="K11" s="292"/>
      <c r="L11" s="292"/>
      <c r="M11" s="292"/>
      <c r="N11" s="293"/>
      <c r="O11" s="293"/>
    </row>
    <row r="12" spans="2:15" ht="14.25" customHeight="1">
      <c r="B12" s="927" t="s">
        <v>255</v>
      </c>
      <c r="C12" s="928"/>
      <c r="D12" s="162"/>
      <c r="E12" s="166"/>
      <c r="F12" s="166"/>
      <c r="G12" s="166"/>
      <c r="H12" s="1"/>
      <c r="I12" s="624"/>
      <c r="J12" s="292"/>
      <c r="K12" s="292"/>
      <c r="L12" s="292"/>
      <c r="M12" s="292"/>
      <c r="N12" s="293"/>
      <c r="O12" s="293"/>
    </row>
    <row r="13" spans="2:15" ht="19.5" customHeight="1" thickBot="1">
      <c r="B13" s="479"/>
      <c r="C13" s="472"/>
      <c r="D13" s="344"/>
      <c r="E13" s="473"/>
      <c r="F13" s="473"/>
      <c r="G13" s="473"/>
      <c r="H13" s="473"/>
      <c r="I13" s="474"/>
      <c r="J13" s="292"/>
      <c r="K13" s="292"/>
      <c r="L13" s="292"/>
      <c r="M13" s="292"/>
      <c r="N13" s="293"/>
      <c r="O13" s="293"/>
    </row>
    <row r="14" spans="2:21" ht="12.75" customHeight="1" thickBot="1" thickTop="1">
      <c r="B14" s="402"/>
      <c r="C14" s="402"/>
      <c r="D14" s="403"/>
      <c r="E14" s="402"/>
      <c r="F14" s="402"/>
      <c r="G14" s="402"/>
      <c r="H14" s="402"/>
      <c r="I14" s="403"/>
      <c r="J14" s="402"/>
      <c r="K14" s="402"/>
      <c r="L14" s="404"/>
      <c r="M14" s="404"/>
      <c r="N14" s="402"/>
      <c r="O14" s="402"/>
      <c r="P14" s="402"/>
      <c r="Q14" s="402"/>
      <c r="R14" s="402"/>
      <c r="S14" s="402"/>
      <c r="U14" s="306"/>
    </row>
    <row r="15" spans="1:21" s="297" customFormat="1" ht="10.5" customHeight="1" thickTop="1">
      <c r="A15" s="393"/>
      <c r="B15" s="519"/>
      <c r="C15" s="520"/>
      <c r="D15" s="520"/>
      <c r="E15" s="521"/>
      <c r="F15" s="520"/>
      <c r="G15" s="520"/>
      <c r="H15" s="520"/>
      <c r="I15" s="520"/>
      <c r="J15" s="521"/>
      <c r="K15" s="520"/>
      <c r="L15" s="520"/>
      <c r="M15" s="522"/>
      <c r="N15" s="520"/>
      <c r="O15" s="371"/>
      <c r="P15" s="405"/>
      <c r="Q15" s="372"/>
      <c r="R15" s="372"/>
      <c r="S15" s="520"/>
      <c r="T15" s="405"/>
      <c r="U15" s="818"/>
    </row>
    <row r="16" spans="1:20" s="298" customFormat="1" ht="6" customHeight="1">
      <c r="A16" s="393"/>
      <c r="B16" s="523"/>
      <c r="C16" s="371"/>
      <c r="D16" s="371"/>
      <c r="E16" s="373"/>
      <c r="F16" s="371"/>
      <c r="G16" s="371"/>
      <c r="H16" s="371"/>
      <c r="I16" s="371"/>
      <c r="J16" s="373"/>
      <c r="K16" s="371"/>
      <c r="L16" s="371"/>
      <c r="M16" s="374"/>
      <c r="N16" s="371"/>
      <c r="O16" s="371"/>
      <c r="P16" s="406"/>
      <c r="Q16" s="371"/>
      <c r="R16" s="371"/>
      <c r="S16" s="371"/>
      <c r="T16" s="406"/>
    </row>
    <row r="17" spans="1:20" s="299" customFormat="1" ht="21.75" customHeight="1">
      <c r="A17" s="394"/>
      <c r="B17" s="524" t="s">
        <v>21</v>
      </c>
      <c r="C17" s="375"/>
      <c r="D17" s="375"/>
      <c r="E17" s="376"/>
      <c r="F17" s="377"/>
      <c r="G17" s="378"/>
      <c r="H17" s="378"/>
      <c r="I17" s="378"/>
      <c r="J17" s="379"/>
      <c r="K17" s="378"/>
      <c r="L17" s="378"/>
      <c r="M17" s="380"/>
      <c r="N17" s="378"/>
      <c r="O17" s="378"/>
      <c r="P17" s="631">
        <f>IF(AND(Q20&gt;0,Q22&gt;0),"Enter mpg OR l/100km, not both!","")</f>
      </c>
      <c r="Q17" s="377"/>
      <c r="R17" s="377"/>
      <c r="S17" s="377"/>
      <c r="T17" s="407"/>
    </row>
    <row r="18" spans="1:31" s="301" customFormat="1" ht="12.75" customHeight="1">
      <c r="A18" s="395"/>
      <c r="B18" s="525" t="s">
        <v>565</v>
      </c>
      <c r="C18" s="383"/>
      <c r="D18" s="381"/>
      <c r="E18" s="382"/>
      <c r="F18" s="383"/>
      <c r="G18" s="383"/>
      <c r="H18" s="383"/>
      <c r="I18" s="383"/>
      <c r="J18" s="384"/>
      <c r="K18" s="383"/>
      <c r="L18" s="383"/>
      <c r="M18" s="385"/>
      <c r="N18" s="385"/>
      <c r="O18" s="385"/>
      <c r="P18" s="408"/>
      <c r="Q18" s="630" t="s">
        <v>614</v>
      </c>
      <c r="R18" s="629"/>
      <c r="S18" s="498"/>
      <c r="T18" s="408"/>
      <c r="U18" s="300"/>
      <c r="V18" s="300"/>
      <c r="W18" s="300"/>
      <c r="X18" s="300"/>
      <c r="Y18" s="300"/>
      <c r="Z18" s="300"/>
      <c r="AA18" s="300"/>
      <c r="AB18" s="300"/>
      <c r="AC18" s="300"/>
      <c r="AD18" s="300"/>
      <c r="AE18" s="300"/>
    </row>
    <row r="19" spans="1:88" s="302" customFormat="1" ht="14.25" customHeight="1" thickBot="1">
      <c r="A19" s="396"/>
      <c r="B19" s="526"/>
      <c r="C19" s="388"/>
      <c r="D19" s="345" t="s">
        <v>282</v>
      </c>
      <c r="E19" s="345" t="s">
        <v>283</v>
      </c>
      <c r="F19" s="347" t="s">
        <v>257</v>
      </c>
      <c r="G19" s="345" t="s">
        <v>263</v>
      </c>
      <c r="H19" s="345" t="s">
        <v>258</v>
      </c>
      <c r="I19" s="346" t="s">
        <v>615</v>
      </c>
      <c r="J19" s="346" t="s">
        <v>616</v>
      </c>
      <c r="K19" s="347" t="s">
        <v>262</v>
      </c>
      <c r="L19" s="346" t="s">
        <v>617</v>
      </c>
      <c r="M19" s="346" t="s">
        <v>618</v>
      </c>
      <c r="N19" s="527" t="s">
        <v>284</v>
      </c>
      <c r="O19" s="527" t="s">
        <v>285</v>
      </c>
      <c r="P19" s="409"/>
      <c r="Q19" s="516">
        <v>1000</v>
      </c>
      <c r="R19" s="507" t="s">
        <v>619</v>
      </c>
      <c r="S19" s="499" t="s">
        <v>189</v>
      </c>
      <c r="T19" s="409"/>
      <c r="U19" s="304"/>
      <c r="V19" s="304"/>
      <c r="W19" s="304"/>
      <c r="X19" s="304"/>
      <c r="Y19" s="304"/>
      <c r="Z19" s="304"/>
      <c r="AA19" s="304"/>
      <c r="AB19" s="304"/>
      <c r="AC19" s="304"/>
      <c r="AD19" s="304"/>
      <c r="AE19" s="304"/>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row>
    <row r="20" spans="1:88" s="307" customFormat="1" ht="13.5" thickBot="1" thickTop="1">
      <c r="A20" s="397"/>
      <c r="B20" s="419"/>
      <c r="C20" s="389"/>
      <c r="D20" s="348"/>
      <c r="E20" s="938" t="s">
        <v>280</v>
      </c>
      <c r="F20" s="349" t="s">
        <v>620</v>
      </c>
      <c r="G20" s="350"/>
      <c r="H20" s="351"/>
      <c r="I20" s="352" t="s">
        <v>621</v>
      </c>
      <c r="J20" s="350"/>
      <c r="K20" s="353"/>
      <c r="L20" s="352" t="s">
        <v>622</v>
      </c>
      <c r="M20" s="351"/>
      <c r="N20" s="354" t="s">
        <v>281</v>
      </c>
      <c r="O20" s="354" t="s">
        <v>224</v>
      </c>
      <c r="P20" s="528"/>
      <c r="Q20" s="517">
        <v>0</v>
      </c>
      <c r="R20" s="509" t="s">
        <v>623</v>
      </c>
      <c r="S20" s="499"/>
      <c r="T20" s="410"/>
      <c r="U20" s="306"/>
      <c r="V20" s="306"/>
      <c r="W20" s="306"/>
      <c r="X20" s="306"/>
      <c r="Y20" s="306"/>
      <c r="Z20" s="306"/>
      <c r="AA20" s="306"/>
      <c r="AB20" s="306"/>
      <c r="AC20" s="306"/>
      <c r="AD20" s="306"/>
      <c r="AE20" s="306"/>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row>
    <row r="21" spans="1:88" s="307" customFormat="1" ht="13.5" thickBot="1">
      <c r="A21" s="397"/>
      <c r="B21" s="419"/>
      <c r="C21" s="389"/>
      <c r="D21" s="355"/>
      <c r="E21" s="939"/>
      <c r="F21" s="356"/>
      <c r="G21" s="945" t="s">
        <v>624</v>
      </c>
      <c r="H21" s="942"/>
      <c r="I21" s="352" t="s">
        <v>418</v>
      </c>
      <c r="J21" s="351"/>
      <c r="K21" s="357" t="s">
        <v>437</v>
      </c>
      <c r="L21" s="352" t="s">
        <v>433</v>
      </c>
      <c r="M21" s="351"/>
      <c r="N21" s="354" t="s">
        <v>625</v>
      </c>
      <c r="O21" s="354" t="s">
        <v>625</v>
      </c>
      <c r="P21" s="528"/>
      <c r="Q21" s="391"/>
      <c r="R21" s="303" t="s">
        <v>627</v>
      </c>
      <c r="S21" s="499" t="s">
        <v>190</v>
      </c>
      <c r="T21" s="410"/>
      <c r="U21" s="306"/>
      <c r="V21" s="306"/>
      <c r="W21" s="306"/>
      <c r="X21" s="306"/>
      <c r="Y21" s="306"/>
      <c r="Z21" s="306"/>
      <c r="AA21" s="306"/>
      <c r="AB21" s="306"/>
      <c r="AC21" s="306"/>
      <c r="AD21" s="306"/>
      <c r="AE21" s="306"/>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row>
    <row r="22" spans="1:88" s="307" customFormat="1" ht="14.25" customHeight="1" thickBot="1">
      <c r="A22" s="397"/>
      <c r="B22" s="419"/>
      <c r="C22" s="389"/>
      <c r="D22" s="355"/>
      <c r="E22" s="939"/>
      <c r="F22" s="358" t="s">
        <v>628</v>
      </c>
      <c r="G22" s="359" t="s">
        <v>629</v>
      </c>
      <c r="H22" s="359" t="s">
        <v>629</v>
      </c>
      <c r="I22" s="359" t="s">
        <v>697</v>
      </c>
      <c r="J22" s="359" t="s">
        <v>630</v>
      </c>
      <c r="K22" s="357" t="s">
        <v>631</v>
      </c>
      <c r="L22" s="359" t="s">
        <v>432</v>
      </c>
      <c r="M22" s="359" t="s">
        <v>630</v>
      </c>
      <c r="N22" s="354" t="s">
        <v>434</v>
      </c>
      <c r="O22" s="354" t="s">
        <v>435</v>
      </c>
      <c r="P22" s="528"/>
      <c r="Q22" s="518">
        <v>30</v>
      </c>
      <c r="R22" s="508" t="s">
        <v>632</v>
      </c>
      <c r="S22" s="499"/>
      <c r="T22" s="410"/>
      <c r="U22" s="306"/>
      <c r="V22" s="306"/>
      <c r="W22" s="306"/>
      <c r="X22" s="306"/>
      <c r="Y22" s="306"/>
      <c r="Z22" s="306"/>
      <c r="AA22" s="306"/>
      <c r="AB22" s="306"/>
      <c r="AC22" s="306"/>
      <c r="AD22" s="306"/>
      <c r="AE22" s="306"/>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row>
    <row r="23" spans="1:88" s="307" customFormat="1" ht="29.25" customHeight="1" thickBot="1" thickTop="1">
      <c r="A23" s="397"/>
      <c r="B23" s="419"/>
      <c r="C23" s="389"/>
      <c r="D23" s="627" t="s">
        <v>633</v>
      </c>
      <c r="E23" s="940"/>
      <c r="F23" s="358" t="s">
        <v>634</v>
      </c>
      <c r="G23" s="360" t="s">
        <v>635</v>
      </c>
      <c r="H23" s="360" t="s">
        <v>636</v>
      </c>
      <c r="I23" s="777" t="s">
        <v>419</v>
      </c>
      <c r="J23" s="360" t="s">
        <v>429</v>
      </c>
      <c r="K23" s="361" t="s">
        <v>637</v>
      </c>
      <c r="L23" s="360" t="s">
        <v>430</v>
      </c>
      <c r="M23" s="360" t="s">
        <v>431</v>
      </c>
      <c r="N23" s="362" t="s">
        <v>638</v>
      </c>
      <c r="O23" s="362" t="s">
        <v>638</v>
      </c>
      <c r="P23" s="529"/>
      <c r="Q23" s="657">
        <f>IF(AND(Q20&gt;0,Q22&gt;0),"Error",IF(Q20&gt;0,Q19/Q20,Q19/100*Q22))</f>
        <v>300</v>
      </c>
      <c r="R23" s="507" t="str">
        <f>IF(Q20&gt;0,"Gallons used","litres used")</f>
        <v>litres used</v>
      </c>
      <c r="S23" s="499" t="s">
        <v>191</v>
      </c>
      <c r="T23" s="410"/>
      <c r="U23" s="306"/>
      <c r="V23" s="306"/>
      <c r="W23" s="306"/>
      <c r="X23" s="306"/>
      <c r="Y23" s="306"/>
      <c r="Z23" s="306"/>
      <c r="AA23" s="306"/>
      <c r="AB23" s="306"/>
      <c r="AC23" s="306"/>
      <c r="AD23" s="306"/>
      <c r="AE23" s="306"/>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row>
    <row r="24" spans="1:85" s="308" customFormat="1" ht="20.25" customHeight="1" thickBot="1" thickTop="1">
      <c r="A24" s="398"/>
      <c r="B24" s="530"/>
      <c r="C24" s="364" t="s">
        <v>639</v>
      </c>
      <c r="D24" s="363"/>
      <c r="E24" s="628"/>
      <c r="F24" s="365"/>
      <c r="G24" s="366"/>
      <c r="H24" s="366"/>
      <c r="I24" s="363"/>
      <c r="J24" s="363"/>
      <c r="K24" s="367">
        <f>SUM(K26:K40)</f>
        <v>0</v>
      </c>
      <c r="L24" s="363"/>
      <c r="M24" s="368"/>
      <c r="N24" s="367">
        <f>SUM(N26:N40)</f>
        <v>0</v>
      </c>
      <c r="O24" s="367">
        <f>SUM(O26:O40)</f>
        <v>0</v>
      </c>
      <c r="P24" s="411"/>
      <c r="Q24" s="392">
        <f>IF(AND(Q20&gt;0,Q22&gt;0),"Enter mpg OR l/100km, not both!","")</f>
      </c>
      <c r="R24" s="387"/>
      <c r="S24" s="387"/>
      <c r="T24" s="411"/>
      <c r="U24" s="603"/>
      <c r="V24" s="500"/>
      <c r="W24" s="501"/>
      <c r="X24" s="502"/>
      <c r="Y24" s="503"/>
      <c r="Z24" s="503"/>
      <c r="AA24" s="503"/>
      <c r="AB24" s="504"/>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row>
    <row r="25" spans="1:28" s="310" customFormat="1" ht="15" customHeight="1" thickBot="1">
      <c r="A25" s="399"/>
      <c r="B25" s="531"/>
      <c r="C25" s="532" t="s">
        <v>183</v>
      </c>
      <c r="D25" s="480" t="s">
        <v>640</v>
      </c>
      <c r="E25" s="480">
        <v>0.8</v>
      </c>
      <c r="F25" s="481">
        <v>30000</v>
      </c>
      <c r="G25" s="482" t="s">
        <v>641</v>
      </c>
      <c r="H25" s="483" t="s">
        <v>642</v>
      </c>
      <c r="I25" s="790">
        <v>0.13</v>
      </c>
      <c r="J25" s="480"/>
      <c r="K25" s="484">
        <f aca="true" t="shared" si="0" ref="K25:K40">F25*IF(J25=0,I25,J25)</f>
        <v>3900</v>
      </c>
      <c r="L25" s="607">
        <v>152</v>
      </c>
      <c r="M25" s="480"/>
      <c r="N25" s="727">
        <f aca="true" t="shared" si="1" ref="N25:N40">E25*K25*IF(M25=0,L25,M25)/2205</f>
        <v>215.0748299319728</v>
      </c>
      <c r="O25" s="728">
        <f aca="true" t="shared" si="2" ref="O25:O40">(1-E25)*K25*IF(M25=0,L25,M25)/2205</f>
        <v>53.768707482993186</v>
      </c>
      <c r="P25" s="533"/>
      <c r="Q25" s="224"/>
      <c r="R25" s="224"/>
      <c r="S25" s="224"/>
      <c r="T25" s="412"/>
      <c r="U25" s="603"/>
      <c r="V25" s="450"/>
      <c r="W25" s="420" t="s">
        <v>300</v>
      </c>
      <c r="X25" s="451"/>
      <c r="Y25" s="387"/>
      <c r="Z25" s="387"/>
      <c r="AA25" s="387"/>
      <c r="AB25" s="411"/>
    </row>
    <row r="26" spans="1:28" s="311" customFormat="1" ht="15" customHeight="1">
      <c r="A26" s="400"/>
      <c r="B26" s="534"/>
      <c r="C26" s="386"/>
      <c r="D26" s="683"/>
      <c r="E26" s="584"/>
      <c r="F26" s="590"/>
      <c r="G26" s="312" t="s">
        <v>641</v>
      </c>
      <c r="H26" s="313" t="s">
        <v>642</v>
      </c>
      <c r="I26" s="791">
        <v>0.13</v>
      </c>
      <c r="J26" s="694"/>
      <c r="K26" s="314">
        <f t="shared" si="0"/>
        <v>0</v>
      </c>
      <c r="L26" s="748">
        <v>152</v>
      </c>
      <c r="M26" s="694"/>
      <c r="N26" s="729">
        <f t="shared" si="1"/>
        <v>0</v>
      </c>
      <c r="O26" s="730">
        <f t="shared" si="2"/>
        <v>0</v>
      </c>
      <c r="P26" s="535"/>
      <c r="Q26" s="224"/>
      <c r="R26" s="224"/>
      <c r="S26" s="224"/>
      <c r="T26" s="413"/>
      <c r="U26" s="604"/>
      <c r="V26" s="419"/>
      <c r="W26" s="946" t="s">
        <v>1</v>
      </c>
      <c r="X26" s="882"/>
      <c r="Y26" s="882"/>
      <c r="Z26" s="882"/>
      <c r="AA26" s="882"/>
      <c r="AB26" s="947"/>
    </row>
    <row r="27" spans="1:28" s="311" customFormat="1" ht="15" customHeight="1">
      <c r="A27" s="400"/>
      <c r="B27" s="534"/>
      <c r="C27" s="386"/>
      <c r="D27" s="684"/>
      <c r="E27" s="585"/>
      <c r="F27" s="590"/>
      <c r="G27" s="316" t="s">
        <v>643</v>
      </c>
      <c r="H27" s="317" t="s">
        <v>642</v>
      </c>
      <c r="I27" s="792">
        <v>0.156</v>
      </c>
      <c r="J27" s="695"/>
      <c r="K27" s="318">
        <f t="shared" si="0"/>
        <v>0</v>
      </c>
      <c r="L27" s="749">
        <v>152</v>
      </c>
      <c r="M27" s="695"/>
      <c r="N27" s="729">
        <f t="shared" si="1"/>
        <v>0</v>
      </c>
      <c r="O27" s="730">
        <f t="shared" si="2"/>
        <v>0</v>
      </c>
      <c r="P27" s="535"/>
      <c r="Q27" s="224"/>
      <c r="R27" s="224"/>
      <c r="S27" s="224"/>
      <c r="T27" s="413"/>
      <c r="U27" s="605"/>
      <c r="V27" s="57"/>
      <c r="W27" s="882"/>
      <c r="X27" s="882"/>
      <c r="Y27" s="882"/>
      <c r="Z27" s="882"/>
      <c r="AA27" s="882"/>
      <c r="AB27" s="947"/>
    </row>
    <row r="28" spans="1:28" s="311" customFormat="1" ht="12.75">
      <c r="A28" s="400"/>
      <c r="B28" s="534"/>
      <c r="C28" s="386"/>
      <c r="D28" s="684"/>
      <c r="E28" s="585"/>
      <c r="F28" s="590"/>
      <c r="G28" s="316" t="s">
        <v>644</v>
      </c>
      <c r="H28" s="317" t="s">
        <v>642</v>
      </c>
      <c r="I28" s="578">
        <v>0.0343</v>
      </c>
      <c r="J28" s="695"/>
      <c r="K28" s="318">
        <f t="shared" si="0"/>
        <v>0</v>
      </c>
      <c r="L28" s="749">
        <v>152</v>
      </c>
      <c r="M28" s="695"/>
      <c r="N28" s="729">
        <f t="shared" si="1"/>
        <v>0</v>
      </c>
      <c r="O28" s="730">
        <f t="shared" si="2"/>
        <v>0</v>
      </c>
      <c r="P28" s="535"/>
      <c r="Q28" s="224"/>
      <c r="R28" s="224"/>
      <c r="S28" s="224"/>
      <c r="T28" s="413"/>
      <c r="U28" s="605"/>
      <c r="V28" s="57"/>
      <c r="W28" s="726"/>
      <c r="X28" s="602"/>
      <c r="Y28" s="602"/>
      <c r="Z28" s="602"/>
      <c r="AA28" s="720"/>
      <c r="AB28" s="58"/>
    </row>
    <row r="29" spans="1:28" s="311" customFormat="1" ht="12.75">
      <c r="A29" s="400"/>
      <c r="B29" s="534"/>
      <c r="C29" s="386"/>
      <c r="D29" s="684"/>
      <c r="E29" s="585"/>
      <c r="F29" s="590"/>
      <c r="G29" s="316" t="s">
        <v>644</v>
      </c>
      <c r="H29" s="317" t="s">
        <v>642</v>
      </c>
      <c r="I29" s="578">
        <v>0.0343</v>
      </c>
      <c r="J29" s="695"/>
      <c r="K29" s="318">
        <f t="shared" si="0"/>
        <v>0</v>
      </c>
      <c r="L29" s="749">
        <v>152</v>
      </c>
      <c r="M29" s="695"/>
      <c r="N29" s="729">
        <f t="shared" si="1"/>
        <v>0</v>
      </c>
      <c r="O29" s="730">
        <f t="shared" si="2"/>
        <v>0</v>
      </c>
      <c r="P29" s="535"/>
      <c r="Q29" s="224"/>
      <c r="R29" s="224"/>
      <c r="S29" s="224"/>
      <c r="T29" s="413"/>
      <c r="U29" s="605"/>
      <c r="V29" s="57"/>
      <c r="W29" s="416" t="s">
        <v>629</v>
      </c>
      <c r="X29" s="417" t="s">
        <v>669</v>
      </c>
      <c r="Y29" s="417" t="s">
        <v>668</v>
      </c>
      <c r="Z29" s="418" t="s">
        <v>310</v>
      </c>
      <c r="AA29" s="720"/>
      <c r="AB29" s="58"/>
    </row>
    <row r="30" spans="1:28" s="311" customFormat="1" ht="13.5" thickBot="1">
      <c r="A30" s="400"/>
      <c r="B30" s="534"/>
      <c r="C30" s="386"/>
      <c r="D30" s="685"/>
      <c r="E30" s="586"/>
      <c r="F30" s="591"/>
      <c r="G30" s="319" t="s">
        <v>645</v>
      </c>
      <c r="H30" s="320" t="s">
        <v>642</v>
      </c>
      <c r="I30" s="723">
        <v>46.4</v>
      </c>
      <c r="J30" s="696"/>
      <c r="K30" s="321">
        <f t="shared" si="0"/>
        <v>0</v>
      </c>
      <c r="L30" s="610">
        <v>152</v>
      </c>
      <c r="M30" s="696"/>
      <c r="N30" s="729">
        <f t="shared" si="1"/>
        <v>0</v>
      </c>
      <c r="O30" s="730">
        <f t="shared" si="2"/>
        <v>0</v>
      </c>
      <c r="P30" s="535"/>
      <c r="Q30" s="224"/>
      <c r="R30" s="224"/>
      <c r="S30" s="224"/>
      <c r="T30" s="413"/>
      <c r="U30" s="605"/>
      <c r="V30" s="57"/>
      <c r="W30" s="416"/>
      <c r="X30" s="417"/>
      <c r="Y30" s="50" t="s">
        <v>301</v>
      </c>
      <c r="Z30" s="721"/>
      <c r="AA30" s="720"/>
      <c r="AB30" s="58"/>
    </row>
    <row r="31" spans="1:28" s="311" customFormat="1" ht="12.75">
      <c r="A31" s="400"/>
      <c r="B31" s="534"/>
      <c r="C31" s="386"/>
      <c r="D31" s="683"/>
      <c r="E31" s="584"/>
      <c r="F31" s="592"/>
      <c r="G31" s="312" t="s">
        <v>641</v>
      </c>
      <c r="H31" s="313" t="s">
        <v>646</v>
      </c>
      <c r="I31" s="578">
        <v>0.137</v>
      </c>
      <c r="J31" s="694"/>
      <c r="K31" s="314">
        <f t="shared" si="0"/>
        <v>0</v>
      </c>
      <c r="L31" s="608">
        <v>162</v>
      </c>
      <c r="M31" s="694"/>
      <c r="N31" s="729">
        <f t="shared" si="1"/>
        <v>0</v>
      </c>
      <c r="O31" s="730">
        <f t="shared" si="2"/>
        <v>0</v>
      </c>
      <c r="P31" s="535"/>
      <c r="Q31" s="224"/>
      <c r="R31" s="224"/>
      <c r="S31" s="224"/>
      <c r="T31" s="413"/>
      <c r="U31" s="605"/>
      <c r="V31" s="57"/>
      <c r="W31" s="416"/>
      <c r="Z31" s="317"/>
      <c r="AA31" s="120"/>
      <c r="AB31" s="58"/>
    </row>
    <row r="32" spans="1:28" s="311" customFormat="1" ht="12.75">
      <c r="A32" s="400"/>
      <c r="B32" s="534"/>
      <c r="C32" s="386"/>
      <c r="D32" s="683"/>
      <c r="E32" s="584"/>
      <c r="F32" s="592"/>
      <c r="G32" s="312" t="s">
        <v>643</v>
      </c>
      <c r="H32" s="313" t="s">
        <v>646</v>
      </c>
      <c r="I32" s="578">
        <v>0.165</v>
      </c>
      <c r="J32" s="694"/>
      <c r="K32" s="314">
        <f t="shared" si="0"/>
        <v>0</v>
      </c>
      <c r="L32" s="608">
        <v>162</v>
      </c>
      <c r="M32" s="694"/>
      <c r="N32" s="729">
        <f t="shared" si="1"/>
        <v>0</v>
      </c>
      <c r="O32" s="730">
        <f t="shared" si="2"/>
        <v>0</v>
      </c>
      <c r="P32" s="535"/>
      <c r="Q32" s="390"/>
      <c r="R32" s="386"/>
      <c r="S32" s="386"/>
      <c r="T32" s="413"/>
      <c r="U32" s="604"/>
      <c r="V32" s="419"/>
      <c r="W32" s="425" t="s">
        <v>307</v>
      </c>
      <c r="X32" s="775">
        <v>152</v>
      </c>
      <c r="Y32" s="141" t="s">
        <v>672</v>
      </c>
      <c r="Z32" s="722" t="s">
        <v>685</v>
      </c>
      <c r="AA32" s="120"/>
      <c r="AB32" s="410"/>
    </row>
    <row r="33" spans="1:28" s="311" customFormat="1" ht="12.75">
      <c r="A33" s="400"/>
      <c r="B33" s="534"/>
      <c r="C33" s="386"/>
      <c r="D33" s="684"/>
      <c r="E33" s="585"/>
      <c r="F33" s="590"/>
      <c r="G33" s="316" t="s">
        <v>644</v>
      </c>
      <c r="H33" s="317" t="s">
        <v>646</v>
      </c>
      <c r="I33" s="578">
        <v>0.0362</v>
      </c>
      <c r="J33" s="695"/>
      <c r="K33" s="318">
        <f t="shared" si="0"/>
        <v>0</v>
      </c>
      <c r="L33" s="608">
        <v>162</v>
      </c>
      <c r="M33" s="695"/>
      <c r="N33" s="729">
        <f t="shared" si="1"/>
        <v>0</v>
      </c>
      <c r="O33" s="730">
        <f t="shared" si="2"/>
        <v>0</v>
      </c>
      <c r="P33" s="535"/>
      <c r="Q33" s="390"/>
      <c r="R33" s="386"/>
      <c r="S33" s="386"/>
      <c r="T33" s="413"/>
      <c r="U33" s="604"/>
      <c r="V33" s="419"/>
      <c r="W33" s="425" t="s">
        <v>273</v>
      </c>
      <c r="X33" s="775">
        <v>157</v>
      </c>
      <c r="Y33" s="141" t="s">
        <v>673</v>
      </c>
      <c r="Z33" s="722" t="s">
        <v>686</v>
      </c>
      <c r="AA33" s="120"/>
      <c r="AB33" s="410"/>
    </row>
    <row r="34" spans="1:28" s="311" customFormat="1" ht="13.5" customHeight="1" thickBot="1">
      <c r="A34" s="400"/>
      <c r="B34" s="534"/>
      <c r="C34" s="386"/>
      <c r="D34" s="685"/>
      <c r="E34" s="586"/>
      <c r="F34" s="591"/>
      <c r="G34" s="319" t="s">
        <v>645</v>
      </c>
      <c r="H34" s="320" t="s">
        <v>646</v>
      </c>
      <c r="I34" s="579">
        <v>42.6</v>
      </c>
      <c r="J34" s="696"/>
      <c r="K34" s="321">
        <f t="shared" si="0"/>
        <v>0</v>
      </c>
      <c r="L34" s="752">
        <v>162</v>
      </c>
      <c r="M34" s="696"/>
      <c r="N34" s="729">
        <f t="shared" si="1"/>
        <v>0</v>
      </c>
      <c r="O34" s="730">
        <f t="shared" si="2"/>
        <v>0</v>
      </c>
      <c r="P34" s="535"/>
      <c r="Q34" s="390"/>
      <c r="R34" s="386"/>
      <c r="S34" s="386"/>
      <c r="T34" s="413"/>
      <c r="U34" s="604"/>
      <c r="V34" s="419"/>
      <c r="W34" s="426" t="s">
        <v>570</v>
      </c>
      <c r="X34" s="718" t="s">
        <v>670</v>
      </c>
      <c r="Y34" s="141"/>
      <c r="Z34" s="722"/>
      <c r="AA34" s="120"/>
      <c r="AB34" s="410"/>
    </row>
    <row r="35" spans="1:28" s="311" customFormat="1" ht="12.75">
      <c r="A35" s="400"/>
      <c r="B35" s="534"/>
      <c r="C35" s="386"/>
      <c r="D35" s="683"/>
      <c r="E35" s="584"/>
      <c r="F35" s="592"/>
      <c r="G35" s="312" t="s">
        <v>647</v>
      </c>
      <c r="H35" s="313" t="s">
        <v>648</v>
      </c>
      <c r="I35" s="580">
        <v>0.0237</v>
      </c>
      <c r="J35" s="694"/>
      <c r="K35" s="314">
        <f t="shared" si="0"/>
        <v>0</v>
      </c>
      <c r="L35" s="778">
        <v>117</v>
      </c>
      <c r="M35" s="694"/>
      <c r="N35" s="729">
        <f t="shared" si="1"/>
        <v>0</v>
      </c>
      <c r="O35" s="730">
        <f t="shared" si="2"/>
        <v>0</v>
      </c>
      <c r="P35" s="535"/>
      <c r="Q35" s="390"/>
      <c r="R35" s="386"/>
      <c r="S35" s="386"/>
      <c r="T35" s="413"/>
      <c r="U35" s="604"/>
      <c r="V35" s="419"/>
      <c r="W35" s="426" t="s">
        <v>572</v>
      </c>
      <c r="X35" s="718" t="s">
        <v>671</v>
      </c>
      <c r="Y35" s="141"/>
      <c r="Z35" s="722"/>
      <c r="AA35" s="120"/>
      <c r="AB35" s="410"/>
    </row>
    <row r="36" spans="1:28" s="311" customFormat="1" ht="13.5" thickBot="1">
      <c r="A36" s="400"/>
      <c r="B36" s="534"/>
      <c r="C36" s="386"/>
      <c r="D36" s="685"/>
      <c r="E36" s="586"/>
      <c r="F36" s="591"/>
      <c r="G36" s="319" t="s">
        <v>649</v>
      </c>
      <c r="H36" s="320" t="s">
        <v>648</v>
      </c>
      <c r="I36" s="581">
        <v>0.0522</v>
      </c>
      <c r="J36" s="696"/>
      <c r="K36" s="321">
        <f t="shared" si="0"/>
        <v>0</v>
      </c>
      <c r="L36" s="609">
        <v>117</v>
      </c>
      <c r="M36" s="696"/>
      <c r="N36" s="729">
        <f t="shared" si="1"/>
        <v>0</v>
      </c>
      <c r="O36" s="730">
        <f t="shared" si="2"/>
        <v>0</v>
      </c>
      <c r="P36" s="535"/>
      <c r="Q36" s="390"/>
      <c r="R36" s="386"/>
      <c r="S36" s="386"/>
      <c r="T36" s="413"/>
      <c r="U36" s="604"/>
      <c r="V36" s="419"/>
      <c r="W36" s="426" t="s">
        <v>646</v>
      </c>
      <c r="X36" s="775">
        <v>162</v>
      </c>
      <c r="Y36" s="141" t="s">
        <v>674</v>
      </c>
      <c r="Z36" s="722" t="s">
        <v>687</v>
      </c>
      <c r="AA36" s="120"/>
      <c r="AB36" s="410"/>
    </row>
    <row r="37" spans="1:28" s="311" customFormat="1" ht="12.75">
      <c r="A37" s="400"/>
      <c r="B37" s="534"/>
      <c r="C37" s="386"/>
      <c r="D37" s="683"/>
      <c r="E37" s="584"/>
      <c r="F37" s="592"/>
      <c r="G37" s="312" t="s">
        <v>647</v>
      </c>
      <c r="H37" s="313" t="s">
        <v>260</v>
      </c>
      <c r="I37" s="582">
        <v>0.0208</v>
      </c>
      <c r="J37" s="694"/>
      <c r="K37" s="314">
        <f t="shared" si="0"/>
        <v>0</v>
      </c>
      <c r="L37" s="750">
        <v>138</v>
      </c>
      <c r="M37" s="697"/>
      <c r="N37" s="729">
        <f t="shared" si="1"/>
        <v>0</v>
      </c>
      <c r="O37" s="730">
        <f t="shared" si="2"/>
        <v>0</v>
      </c>
      <c r="P37" s="535"/>
      <c r="Q37" s="390"/>
      <c r="R37" s="386"/>
      <c r="S37" s="386"/>
      <c r="T37" s="413"/>
      <c r="U37" s="604"/>
      <c r="V37" s="419"/>
      <c r="W37" s="425" t="s">
        <v>311</v>
      </c>
      <c r="X37" s="775">
        <v>162</v>
      </c>
      <c r="Y37" s="141" t="s">
        <v>675</v>
      </c>
      <c r="Z37" s="722" t="s">
        <v>688</v>
      </c>
      <c r="AA37" s="120"/>
      <c r="AB37" s="58"/>
    </row>
    <row r="38" spans="1:28" s="311" customFormat="1" ht="12.75">
      <c r="A38" s="400"/>
      <c r="B38" s="534"/>
      <c r="C38" s="386"/>
      <c r="D38" s="686"/>
      <c r="E38" s="625"/>
      <c r="F38" s="590"/>
      <c r="G38" s="316" t="s">
        <v>649</v>
      </c>
      <c r="H38" s="317" t="s">
        <v>260</v>
      </c>
      <c r="I38" s="583">
        <v>0.0458</v>
      </c>
      <c r="J38" s="694"/>
      <c r="K38" s="314">
        <f t="shared" si="0"/>
        <v>0</v>
      </c>
      <c r="L38" s="751">
        <v>138</v>
      </c>
      <c r="M38" s="698"/>
      <c r="N38" s="729">
        <f t="shared" si="1"/>
        <v>0</v>
      </c>
      <c r="O38" s="730">
        <f t="shared" si="2"/>
        <v>0</v>
      </c>
      <c r="P38" s="535"/>
      <c r="Q38" s="390"/>
      <c r="R38" s="386"/>
      <c r="S38" s="386"/>
      <c r="T38" s="413"/>
      <c r="U38" s="604"/>
      <c r="V38" s="419"/>
      <c r="W38" s="425" t="s">
        <v>312</v>
      </c>
      <c r="X38" s="775">
        <v>162</v>
      </c>
      <c r="Y38" s="141" t="s">
        <v>675</v>
      </c>
      <c r="Z38" s="722" t="s">
        <v>688</v>
      </c>
      <c r="AA38" s="120"/>
      <c r="AB38" s="58"/>
    </row>
    <row r="39" spans="1:28" s="311" customFormat="1" ht="12.75">
      <c r="A39" s="400"/>
      <c r="B39" s="534"/>
      <c r="C39" s="386"/>
      <c r="D39" s="686"/>
      <c r="E39" s="625"/>
      <c r="F39" s="590"/>
      <c r="G39" s="316" t="s">
        <v>641</v>
      </c>
      <c r="H39" s="317" t="s">
        <v>260</v>
      </c>
      <c r="I39" s="793">
        <v>0.94</v>
      </c>
      <c r="J39" s="694"/>
      <c r="K39" s="314">
        <f t="shared" si="0"/>
        <v>0</v>
      </c>
      <c r="L39" s="751">
        <v>138</v>
      </c>
      <c r="M39" s="698"/>
      <c r="N39" s="729">
        <f t="shared" si="1"/>
        <v>0</v>
      </c>
      <c r="O39" s="730">
        <f t="shared" si="2"/>
        <v>0</v>
      </c>
      <c r="P39" s="535"/>
      <c r="Q39" s="390"/>
      <c r="R39" s="386"/>
      <c r="S39" s="386"/>
      <c r="T39" s="413"/>
      <c r="U39" s="604"/>
      <c r="V39" s="419"/>
      <c r="W39" s="425" t="s">
        <v>657</v>
      </c>
      <c r="X39" s="775">
        <v>169</v>
      </c>
      <c r="Y39" s="141" t="s">
        <v>676</v>
      </c>
      <c r="Z39" s="722" t="s">
        <v>689</v>
      </c>
      <c r="AA39" s="120"/>
      <c r="AB39" s="58"/>
    </row>
    <row r="40" spans="1:28" s="311" customFormat="1" ht="13.5" thickBot="1">
      <c r="A40" s="400"/>
      <c r="B40" s="534"/>
      <c r="C40" s="386"/>
      <c r="D40" s="687"/>
      <c r="E40" s="626"/>
      <c r="F40" s="590"/>
      <c r="G40" s="316" t="s">
        <v>644</v>
      </c>
      <c r="H40" s="317" t="s">
        <v>260</v>
      </c>
      <c r="I40" s="589">
        <v>0.0248</v>
      </c>
      <c r="J40" s="695"/>
      <c r="K40" s="318">
        <f t="shared" si="0"/>
        <v>0</v>
      </c>
      <c r="L40" s="751">
        <v>138</v>
      </c>
      <c r="M40" s="695"/>
      <c r="N40" s="730">
        <f t="shared" si="1"/>
        <v>0</v>
      </c>
      <c r="O40" s="730">
        <f t="shared" si="2"/>
        <v>0</v>
      </c>
      <c r="P40" s="535"/>
      <c r="Q40" s="390"/>
      <c r="R40" s="386"/>
      <c r="S40" s="386"/>
      <c r="T40" s="413"/>
      <c r="U40" s="604"/>
      <c r="V40" s="419"/>
      <c r="W40" s="425" t="s">
        <v>658</v>
      </c>
      <c r="X40" s="775">
        <v>169</v>
      </c>
      <c r="Y40" s="141" t="s">
        <v>677</v>
      </c>
      <c r="Z40" s="722" t="s">
        <v>690</v>
      </c>
      <c r="AA40" s="120"/>
      <c r="AB40" s="410"/>
    </row>
    <row r="41" spans="1:28" s="309" customFormat="1" ht="13.5" thickBot="1">
      <c r="A41" s="398"/>
      <c r="B41" s="530"/>
      <c r="C41" s="364" t="s">
        <v>650</v>
      </c>
      <c r="D41" s="363"/>
      <c r="E41" s="363"/>
      <c r="F41" s="785"/>
      <c r="G41" s="786"/>
      <c r="H41" s="786"/>
      <c r="I41" s="628"/>
      <c r="J41" s="628"/>
      <c r="K41" s="787">
        <f>SUM(K42:K56)</f>
        <v>0</v>
      </c>
      <c r="L41" s="632"/>
      <c r="M41" s="788"/>
      <c r="N41" s="789">
        <f>SUM(N42:N56)</f>
        <v>0</v>
      </c>
      <c r="O41" s="789">
        <f>SUM(O42:O56)</f>
        <v>0</v>
      </c>
      <c r="P41" s="411"/>
      <c r="Q41" s="387"/>
      <c r="R41" s="387"/>
      <c r="S41" s="387"/>
      <c r="T41" s="411"/>
      <c r="U41" s="604"/>
      <c r="V41" s="419"/>
      <c r="W41" s="425" t="s">
        <v>659</v>
      </c>
      <c r="X41" s="775">
        <v>169</v>
      </c>
      <c r="Y41" s="141" t="s">
        <v>678</v>
      </c>
      <c r="Z41" s="722" t="s">
        <v>691</v>
      </c>
      <c r="AA41" s="120"/>
      <c r="AB41" s="410"/>
    </row>
    <row r="42" spans="1:28" s="311" customFormat="1" ht="17.25" customHeight="1">
      <c r="A42" s="400"/>
      <c r="B42" s="534"/>
      <c r="C42" s="386"/>
      <c r="D42" s="683"/>
      <c r="E42" s="584"/>
      <c r="F42" s="592"/>
      <c r="G42" s="312" t="s">
        <v>641</v>
      </c>
      <c r="H42" s="313" t="s">
        <v>642</v>
      </c>
      <c r="I42" s="577">
        <v>0.13</v>
      </c>
      <c r="J42" s="694"/>
      <c r="K42" s="314">
        <f aca="true" t="shared" si="3" ref="K42:K56">F42*IF(J42=0,I42,J42)</f>
        <v>0</v>
      </c>
      <c r="L42" s="749">
        <v>152</v>
      </c>
      <c r="M42" s="695"/>
      <c r="N42" s="730">
        <f aca="true" t="shared" si="4" ref="N42:N56">E42*K42*IF(M42=0,L42,M42)/2205</f>
        <v>0</v>
      </c>
      <c r="O42" s="730">
        <f aca="true" t="shared" si="5" ref="O42:O56">(1-E42)*K42*IF(M42=0,L42,M42)/2205</f>
        <v>0</v>
      </c>
      <c r="P42" s="535"/>
      <c r="Q42" s="390"/>
      <c r="R42" s="386"/>
      <c r="S42" s="386"/>
      <c r="T42" s="413"/>
      <c r="U42" s="604"/>
      <c r="V42" s="419"/>
      <c r="W42" s="425" t="s">
        <v>260</v>
      </c>
      <c r="X42" s="775">
        <v>138</v>
      </c>
      <c r="Y42" s="141" t="s">
        <v>679</v>
      </c>
      <c r="Z42" s="722" t="s">
        <v>692</v>
      </c>
      <c r="AA42" s="120"/>
      <c r="AB42" s="410"/>
    </row>
    <row r="43" spans="1:28" s="311" customFormat="1" ht="15.75" customHeight="1">
      <c r="A43" s="400"/>
      <c r="B43" s="534"/>
      <c r="C43" s="386"/>
      <c r="D43" s="684"/>
      <c r="E43" s="585"/>
      <c r="F43" s="590"/>
      <c r="G43" s="316" t="s">
        <v>643</v>
      </c>
      <c r="H43" s="317" t="s">
        <v>642</v>
      </c>
      <c r="I43" s="578">
        <v>0.156</v>
      </c>
      <c r="J43" s="695"/>
      <c r="K43" s="318">
        <f t="shared" si="3"/>
        <v>0</v>
      </c>
      <c r="L43" s="749">
        <v>152</v>
      </c>
      <c r="M43" s="695"/>
      <c r="N43" s="729">
        <f t="shared" si="4"/>
        <v>0</v>
      </c>
      <c r="O43" s="730">
        <f t="shared" si="5"/>
        <v>0</v>
      </c>
      <c r="P43" s="535"/>
      <c r="Q43" s="390"/>
      <c r="R43" s="386"/>
      <c r="S43" s="386"/>
      <c r="T43" s="413"/>
      <c r="U43" s="604"/>
      <c r="V43" s="419"/>
      <c r="W43" s="427" t="s">
        <v>261</v>
      </c>
      <c r="X43" s="775">
        <v>213</v>
      </c>
      <c r="Y43" s="141" t="s">
        <v>680</v>
      </c>
      <c r="Z43" s="722"/>
      <c r="AA43" s="120"/>
      <c r="AB43" s="410"/>
    </row>
    <row r="44" spans="1:28" s="311" customFormat="1" ht="16.5" customHeight="1">
      <c r="A44" s="400"/>
      <c r="B44" s="534"/>
      <c r="C44" s="386"/>
      <c r="D44" s="684"/>
      <c r="E44" s="585"/>
      <c r="F44" s="590"/>
      <c r="G44" s="316" t="s">
        <v>644</v>
      </c>
      <c r="H44" s="317" t="s">
        <v>642</v>
      </c>
      <c r="I44" s="578">
        <v>0.0343</v>
      </c>
      <c r="J44" s="695"/>
      <c r="K44" s="318">
        <f t="shared" si="3"/>
        <v>0</v>
      </c>
      <c r="L44" s="749">
        <v>152</v>
      </c>
      <c r="M44" s="695"/>
      <c r="N44" s="729">
        <f t="shared" si="4"/>
        <v>0</v>
      </c>
      <c r="O44" s="730">
        <f t="shared" si="5"/>
        <v>0</v>
      </c>
      <c r="P44" s="535"/>
      <c r="Q44" s="390"/>
      <c r="R44" s="386"/>
      <c r="S44" s="386"/>
      <c r="T44" s="413"/>
      <c r="U44" s="604"/>
      <c r="V44" s="419"/>
      <c r="W44" s="427" t="s">
        <v>306</v>
      </c>
      <c r="X44" s="775">
        <v>205</v>
      </c>
      <c r="Y44" s="141" t="s">
        <v>681</v>
      </c>
      <c r="Z44" s="722"/>
      <c r="AA44" s="120"/>
      <c r="AB44" s="410"/>
    </row>
    <row r="45" spans="1:28" s="311" customFormat="1" ht="13.5" thickBot="1">
      <c r="A45" s="400"/>
      <c r="B45" s="534"/>
      <c r="C45" s="386"/>
      <c r="D45" s="685"/>
      <c r="E45" s="586"/>
      <c r="F45" s="591"/>
      <c r="G45" s="319" t="s">
        <v>645</v>
      </c>
      <c r="H45" s="320" t="s">
        <v>642</v>
      </c>
      <c r="I45" s="723">
        <v>46.4</v>
      </c>
      <c r="J45" s="696"/>
      <c r="K45" s="321">
        <f t="shared" si="3"/>
        <v>0</v>
      </c>
      <c r="L45" s="782">
        <v>152</v>
      </c>
      <c r="M45" s="696"/>
      <c r="N45" s="729">
        <f t="shared" si="4"/>
        <v>0</v>
      </c>
      <c r="O45" s="730">
        <f t="shared" si="5"/>
        <v>0</v>
      </c>
      <c r="P45" s="535"/>
      <c r="Q45" s="390"/>
      <c r="R45" s="386"/>
      <c r="S45" s="386"/>
      <c r="T45" s="413"/>
      <c r="U45" s="604"/>
      <c r="V45" s="419"/>
      <c r="W45" s="427" t="s">
        <v>569</v>
      </c>
      <c r="X45" s="718" t="s">
        <v>458</v>
      </c>
      <c r="Y45" s="141" t="s">
        <v>682</v>
      </c>
      <c r="Z45" s="722" t="s">
        <v>693</v>
      </c>
      <c r="AA45" s="120"/>
      <c r="AB45" s="410"/>
    </row>
    <row r="46" spans="1:28" s="311" customFormat="1" ht="12.75">
      <c r="A46" s="400"/>
      <c r="B46" s="534"/>
      <c r="C46" s="386"/>
      <c r="D46" s="683"/>
      <c r="E46" s="584"/>
      <c r="F46" s="592"/>
      <c r="G46" s="312" t="s">
        <v>641</v>
      </c>
      <c r="H46" s="313" t="s">
        <v>646</v>
      </c>
      <c r="I46" s="578">
        <v>0.137</v>
      </c>
      <c r="J46" s="694"/>
      <c r="K46" s="314">
        <f t="shared" si="3"/>
        <v>0</v>
      </c>
      <c r="L46" s="753">
        <v>162</v>
      </c>
      <c r="M46" s="694"/>
      <c r="N46" s="729">
        <f t="shared" si="4"/>
        <v>0</v>
      </c>
      <c r="O46" s="730">
        <f t="shared" si="5"/>
        <v>0</v>
      </c>
      <c r="P46" s="535"/>
      <c r="Q46" s="390"/>
      <c r="R46" s="386"/>
      <c r="S46" s="386"/>
      <c r="T46" s="413"/>
      <c r="U46" s="604"/>
      <c r="V46" s="419"/>
      <c r="W46" s="427" t="s">
        <v>660</v>
      </c>
      <c r="X46" s="775">
        <v>208</v>
      </c>
      <c r="Y46" s="141" t="s">
        <v>683</v>
      </c>
      <c r="Z46" s="722"/>
      <c r="AA46" s="120"/>
      <c r="AB46" s="410"/>
    </row>
    <row r="47" spans="1:28" s="311" customFormat="1" ht="16.5" customHeight="1">
      <c r="A47" s="400"/>
      <c r="B47" s="534"/>
      <c r="C47" s="386"/>
      <c r="D47" s="684"/>
      <c r="E47" s="585"/>
      <c r="F47" s="590"/>
      <c r="G47" s="316" t="s">
        <v>643</v>
      </c>
      <c r="H47" s="317" t="s">
        <v>646</v>
      </c>
      <c r="I47" s="578">
        <v>0.165</v>
      </c>
      <c r="J47" s="695"/>
      <c r="K47" s="318">
        <f t="shared" si="3"/>
        <v>0</v>
      </c>
      <c r="L47" s="608">
        <v>162</v>
      </c>
      <c r="M47" s="695"/>
      <c r="N47" s="729">
        <f t="shared" si="4"/>
        <v>0</v>
      </c>
      <c r="O47" s="730">
        <f t="shared" si="5"/>
        <v>0</v>
      </c>
      <c r="P47" s="535"/>
      <c r="Q47" s="390"/>
      <c r="R47" s="386"/>
      <c r="S47" s="386"/>
      <c r="T47" s="413"/>
      <c r="U47" s="604"/>
      <c r="V47" s="419"/>
      <c r="W47" s="427" t="s">
        <v>590</v>
      </c>
      <c r="X47" s="776">
        <v>117</v>
      </c>
      <c r="Y47" s="719" t="s">
        <v>684</v>
      </c>
      <c r="Z47" s="722" t="s">
        <v>694</v>
      </c>
      <c r="AA47" s="120"/>
      <c r="AB47" s="410"/>
    </row>
    <row r="48" spans="1:28" s="311" customFormat="1" ht="17.25" customHeight="1">
      <c r="A48" s="400"/>
      <c r="B48" s="534"/>
      <c r="C48" s="386"/>
      <c r="D48" s="684"/>
      <c r="E48" s="585"/>
      <c r="F48" s="590"/>
      <c r="G48" s="316" t="s">
        <v>644</v>
      </c>
      <c r="H48" s="317" t="s">
        <v>646</v>
      </c>
      <c r="I48" s="578">
        <v>0.0362</v>
      </c>
      <c r="J48" s="695"/>
      <c r="K48" s="318">
        <f t="shared" si="3"/>
        <v>0</v>
      </c>
      <c r="L48" s="608">
        <v>162</v>
      </c>
      <c r="M48" s="695"/>
      <c r="N48" s="729">
        <f t="shared" si="4"/>
        <v>0</v>
      </c>
      <c r="O48" s="730">
        <f t="shared" si="5"/>
        <v>0</v>
      </c>
      <c r="P48" s="535"/>
      <c r="Q48" s="390"/>
      <c r="R48" s="386"/>
      <c r="S48" s="386"/>
      <c r="T48" s="413"/>
      <c r="U48" s="604"/>
      <c r="V48" s="419"/>
      <c r="W48" s="129" t="s">
        <v>666</v>
      </c>
      <c r="X48" s="421"/>
      <c r="Y48" s="602"/>
      <c r="Z48" s="389"/>
      <c r="AA48" s="389"/>
      <c r="AB48" s="410"/>
    </row>
    <row r="49" spans="1:28" s="311" customFormat="1" ht="17.25" customHeight="1" thickBot="1">
      <c r="A49" s="400"/>
      <c r="B49" s="534"/>
      <c r="C49" s="386"/>
      <c r="D49" s="685"/>
      <c r="E49" s="586"/>
      <c r="F49" s="591"/>
      <c r="G49" s="319" t="s">
        <v>645</v>
      </c>
      <c r="H49" s="320" t="s">
        <v>646</v>
      </c>
      <c r="I49" s="579">
        <v>42.6</v>
      </c>
      <c r="J49" s="696"/>
      <c r="K49" s="321">
        <f t="shared" si="3"/>
        <v>0</v>
      </c>
      <c r="L49" s="608">
        <v>162</v>
      </c>
      <c r="M49" s="696"/>
      <c r="N49" s="729">
        <f t="shared" si="4"/>
        <v>0</v>
      </c>
      <c r="O49" s="730">
        <f t="shared" si="5"/>
        <v>0</v>
      </c>
      <c r="P49" s="535"/>
      <c r="Q49" s="390"/>
      <c r="R49" s="386"/>
      <c r="S49" s="386"/>
      <c r="T49" s="413"/>
      <c r="U49" s="604"/>
      <c r="V49" s="419"/>
      <c r="W49" s="129" t="s">
        <v>547</v>
      </c>
      <c r="X49" s="421"/>
      <c r="Y49" s="389"/>
      <c r="Z49" s="389"/>
      <c r="AA49" s="389"/>
      <c r="AB49" s="410"/>
    </row>
    <row r="50" spans="1:28" s="311" customFormat="1" ht="13.5">
      <c r="A50" s="400"/>
      <c r="B50" s="534"/>
      <c r="C50" s="386"/>
      <c r="D50" s="684"/>
      <c r="E50" s="585"/>
      <c r="F50" s="590"/>
      <c r="G50" s="316" t="s">
        <v>641</v>
      </c>
      <c r="H50" s="317" t="s">
        <v>695</v>
      </c>
      <c r="I50" s="588">
        <v>0.143</v>
      </c>
      <c r="J50" s="695"/>
      <c r="K50" s="318">
        <f t="shared" si="3"/>
        <v>0</v>
      </c>
      <c r="L50" s="779">
        <v>169</v>
      </c>
      <c r="M50" s="695"/>
      <c r="N50" s="729">
        <f t="shared" si="4"/>
        <v>0</v>
      </c>
      <c r="O50" s="730">
        <f t="shared" si="5"/>
        <v>0</v>
      </c>
      <c r="P50" s="535"/>
      <c r="Q50" s="390"/>
      <c r="R50" s="386"/>
      <c r="S50" s="386"/>
      <c r="T50" s="413"/>
      <c r="U50" s="604"/>
      <c r="V50" s="419"/>
      <c r="W50" s="602" t="s">
        <v>591</v>
      </c>
      <c r="X50" s="454"/>
      <c r="Y50" s="454"/>
      <c r="Z50" s="389"/>
      <c r="AA50" s="389"/>
      <c r="AB50" s="410"/>
    </row>
    <row r="51" spans="1:30" s="311" customFormat="1" ht="15" customHeight="1" thickBot="1">
      <c r="A51" s="400"/>
      <c r="B51" s="534"/>
      <c r="C51" s="386"/>
      <c r="D51" s="684"/>
      <c r="E51" s="585"/>
      <c r="F51" s="590"/>
      <c r="G51" s="316" t="s">
        <v>651</v>
      </c>
      <c r="H51" s="317" t="s">
        <v>695</v>
      </c>
      <c r="I51" s="794">
        <v>0.172</v>
      </c>
      <c r="J51" s="695"/>
      <c r="K51" s="318">
        <f t="shared" si="3"/>
        <v>0</v>
      </c>
      <c r="L51" s="608">
        <v>169</v>
      </c>
      <c r="M51" s="695"/>
      <c r="N51" s="729">
        <f t="shared" si="4"/>
        <v>0</v>
      </c>
      <c r="O51" s="730">
        <f t="shared" si="5"/>
        <v>0</v>
      </c>
      <c r="P51" s="535"/>
      <c r="Q51" s="390"/>
      <c r="R51" s="386"/>
      <c r="S51" s="386"/>
      <c r="T51" s="386"/>
      <c r="U51" s="606"/>
      <c r="V51" s="534"/>
      <c r="W51" s="955" t="s">
        <v>564</v>
      </c>
      <c r="X51" s="956"/>
      <c r="Y51" s="956"/>
      <c r="Z51" s="956"/>
      <c r="AA51" s="386"/>
      <c r="AB51" s="413"/>
      <c r="AC51" s="315"/>
      <c r="AD51" s="315"/>
    </row>
    <row r="52" spans="1:31" s="311" customFormat="1" ht="15" customHeight="1" thickTop="1">
      <c r="A52" s="400"/>
      <c r="B52" s="534"/>
      <c r="C52" s="386"/>
      <c r="D52" s="684"/>
      <c r="E52" s="585"/>
      <c r="F52" s="590"/>
      <c r="G52" s="316" t="s">
        <v>652</v>
      </c>
      <c r="H52" s="317" t="s">
        <v>695</v>
      </c>
      <c r="I52" s="795">
        <v>6.01</v>
      </c>
      <c r="J52" s="695"/>
      <c r="K52" s="318">
        <f t="shared" si="3"/>
        <v>0</v>
      </c>
      <c r="L52" s="608">
        <v>169</v>
      </c>
      <c r="M52" s="695"/>
      <c r="N52" s="729">
        <f t="shared" si="4"/>
        <v>0</v>
      </c>
      <c r="O52" s="730">
        <f t="shared" si="5"/>
        <v>0</v>
      </c>
      <c r="P52" s="535"/>
      <c r="Q52" s="390"/>
      <c r="R52" s="386"/>
      <c r="S52" s="386"/>
      <c r="T52" s="413"/>
      <c r="U52" s="604"/>
      <c r="V52" s="386"/>
      <c r="W52" s="957"/>
      <c r="X52" s="957"/>
      <c r="Y52" s="957"/>
      <c r="Z52" s="957"/>
      <c r="AA52" s="386"/>
      <c r="AB52" s="413"/>
      <c r="AC52" s="315"/>
      <c r="AD52" s="315"/>
      <c r="AE52" s="537"/>
    </row>
    <row r="53" spans="1:31" s="311" customFormat="1" ht="15" customHeight="1" thickBot="1">
      <c r="A53" s="400"/>
      <c r="B53" s="534"/>
      <c r="C53" s="386"/>
      <c r="D53" s="685"/>
      <c r="E53" s="586"/>
      <c r="F53" s="591"/>
      <c r="G53" s="319" t="s">
        <v>645</v>
      </c>
      <c r="H53" s="320" t="s">
        <v>695</v>
      </c>
      <c r="I53" s="755">
        <v>42.2</v>
      </c>
      <c r="J53" s="696"/>
      <c r="K53" s="321">
        <f t="shared" si="3"/>
        <v>0</v>
      </c>
      <c r="L53" s="780">
        <v>169</v>
      </c>
      <c r="M53" s="696"/>
      <c r="N53" s="729">
        <f t="shared" si="4"/>
        <v>0</v>
      </c>
      <c r="O53" s="730">
        <f t="shared" si="5"/>
        <v>0</v>
      </c>
      <c r="P53" s="535"/>
      <c r="Q53" s="390"/>
      <c r="R53" s="386"/>
      <c r="S53" s="386"/>
      <c r="T53" s="413"/>
      <c r="U53" s="746"/>
      <c r="V53" s="724"/>
      <c r="W53" s="958"/>
      <c r="X53" s="958"/>
      <c r="Y53" s="958"/>
      <c r="Z53" s="958"/>
      <c r="AA53" s="724"/>
      <c r="AB53" s="725"/>
      <c r="AC53" s="315"/>
      <c r="AD53" s="315"/>
      <c r="AE53" s="315"/>
    </row>
    <row r="54" spans="1:31" s="311" customFormat="1" ht="15" customHeight="1">
      <c r="A54" s="400"/>
      <c r="B54" s="534"/>
      <c r="C54" s="386"/>
      <c r="D54" s="683"/>
      <c r="E54" s="584"/>
      <c r="F54" s="592"/>
      <c r="G54" s="312" t="s">
        <v>653</v>
      </c>
      <c r="H54" s="313" t="s">
        <v>696</v>
      </c>
      <c r="I54" s="609">
        <v>27</v>
      </c>
      <c r="J54" s="694"/>
      <c r="K54" s="314">
        <f t="shared" si="3"/>
        <v>0</v>
      </c>
      <c r="L54" s="781">
        <v>205</v>
      </c>
      <c r="M54" s="694"/>
      <c r="N54" s="729">
        <f t="shared" si="4"/>
        <v>0</v>
      </c>
      <c r="O54" s="730">
        <f t="shared" si="5"/>
        <v>0</v>
      </c>
      <c r="P54" s="535"/>
      <c r="Q54" s="390"/>
      <c r="R54" s="386"/>
      <c r="S54" s="386"/>
      <c r="T54" s="413"/>
      <c r="U54" s="315"/>
      <c r="V54" s="315"/>
      <c r="W54" s="315"/>
      <c r="X54" s="315"/>
      <c r="Y54" s="315"/>
      <c r="Z54" s="315"/>
      <c r="AA54" s="315"/>
      <c r="AB54" s="315"/>
      <c r="AC54" s="315"/>
      <c r="AD54" s="315"/>
      <c r="AE54" s="315"/>
    </row>
    <row r="55" spans="1:31" s="311" customFormat="1" ht="15" customHeight="1" thickBot="1">
      <c r="A55" s="400"/>
      <c r="B55" s="534"/>
      <c r="C55" s="386"/>
      <c r="D55" s="688"/>
      <c r="E55" s="587"/>
      <c r="F55" s="591"/>
      <c r="G55" s="319" t="s">
        <v>645</v>
      </c>
      <c r="H55" s="320" t="s">
        <v>696</v>
      </c>
      <c r="I55" s="764">
        <v>29.8</v>
      </c>
      <c r="J55" s="696"/>
      <c r="K55" s="321">
        <f t="shared" si="3"/>
        <v>0</v>
      </c>
      <c r="L55" s="765">
        <v>205</v>
      </c>
      <c r="M55" s="696"/>
      <c r="N55" s="729">
        <f t="shared" si="4"/>
        <v>0</v>
      </c>
      <c r="O55" s="730">
        <f t="shared" si="5"/>
        <v>0</v>
      </c>
      <c r="P55" s="535"/>
      <c r="Q55" s="390"/>
      <c r="R55" s="386"/>
      <c r="S55" s="386"/>
      <c r="T55" s="413"/>
      <c r="U55" s="315"/>
      <c r="V55" s="315"/>
      <c r="W55" s="315"/>
      <c r="X55" s="315"/>
      <c r="Y55" s="315"/>
      <c r="Z55" s="315"/>
      <c r="AA55" s="315"/>
      <c r="AB55" s="315"/>
      <c r="AC55" s="315"/>
      <c r="AD55" s="315"/>
      <c r="AE55" s="315"/>
    </row>
    <row r="56" spans="1:31" s="311" customFormat="1" ht="15" customHeight="1" thickBot="1">
      <c r="A56" s="400"/>
      <c r="B56" s="534"/>
      <c r="C56" s="386"/>
      <c r="D56" s="767"/>
      <c r="E56" s="766"/>
      <c r="F56" s="756"/>
      <c r="G56" s="757"/>
      <c r="H56" s="758" t="s">
        <v>654</v>
      </c>
      <c r="I56" s="759"/>
      <c r="J56" s="760"/>
      <c r="K56" s="761">
        <f t="shared" si="3"/>
        <v>0</v>
      </c>
      <c r="L56" s="762"/>
      <c r="M56" s="763"/>
      <c r="N56" s="729">
        <f t="shared" si="4"/>
        <v>0</v>
      </c>
      <c r="O56" s="730">
        <f t="shared" si="5"/>
        <v>0</v>
      </c>
      <c r="P56" s="536"/>
      <c r="Q56" s="390"/>
      <c r="R56" s="386"/>
      <c r="S56" s="386"/>
      <c r="T56" s="413"/>
      <c r="U56" s="315"/>
      <c r="V56" s="315"/>
      <c r="W56" s="315"/>
      <c r="X56" s="315"/>
      <c r="Y56" s="315"/>
      <c r="Z56" s="315"/>
      <c r="AA56" s="315"/>
      <c r="AB56" s="315"/>
      <c r="AC56" s="315"/>
      <c r="AD56" s="315"/>
      <c r="AE56" s="315"/>
    </row>
    <row r="57" spans="1:20" s="309" customFormat="1" ht="20.25" customHeight="1" thickBot="1">
      <c r="A57" s="398"/>
      <c r="B57" s="530"/>
      <c r="C57" s="364" t="s">
        <v>655</v>
      </c>
      <c r="D57" s="369"/>
      <c r="E57" s="369"/>
      <c r="F57" s="614"/>
      <c r="G57" s="616"/>
      <c r="H57" s="616"/>
      <c r="I57" s="363"/>
      <c r="J57" s="615"/>
      <c r="K57" s="784">
        <f>SUM(K58:K72)</f>
        <v>0</v>
      </c>
      <c r="L57" s="615"/>
      <c r="M57" s="783"/>
      <c r="N57" s="784">
        <f>SUM(N58:N72)</f>
        <v>0</v>
      </c>
      <c r="O57" s="784">
        <f>SUM(O58:O72)</f>
        <v>0</v>
      </c>
      <c r="P57" s="411"/>
      <c r="Q57" s="387"/>
      <c r="R57" s="387"/>
      <c r="S57" s="387"/>
      <c r="T57" s="411"/>
    </row>
    <row r="58" spans="1:31" s="311" customFormat="1" ht="15" customHeight="1">
      <c r="A58" s="400"/>
      <c r="B58" s="534"/>
      <c r="C58" s="386"/>
      <c r="D58" s="683"/>
      <c r="E58" s="584"/>
      <c r="F58" s="590"/>
      <c r="G58" s="316" t="s">
        <v>641</v>
      </c>
      <c r="H58" s="317" t="s">
        <v>642</v>
      </c>
      <c r="I58" s="791">
        <v>0.13</v>
      </c>
      <c r="J58" s="695"/>
      <c r="K58" s="318">
        <f aca="true" t="shared" si="6" ref="K58:K72">F58*IF(J58=0,I58,J58)</f>
        <v>0</v>
      </c>
      <c r="L58" s="749">
        <v>152</v>
      </c>
      <c r="M58" s="695"/>
      <c r="N58" s="730">
        <f aca="true" t="shared" si="7" ref="N58:N72">E58*K58*IF(M58=0,L58,M58)/2205</f>
        <v>0</v>
      </c>
      <c r="O58" s="730">
        <f aca="true" t="shared" si="8" ref="O58:O72">(1-E58)*K58*IF(M58=0,L58,M58)/2205</f>
        <v>0</v>
      </c>
      <c r="P58" s="535"/>
      <c r="Q58" s="390"/>
      <c r="R58" s="386"/>
      <c r="S58" s="386"/>
      <c r="T58" s="413"/>
      <c r="U58" s="315"/>
      <c r="V58" s="315"/>
      <c r="W58" s="315"/>
      <c r="X58" s="315"/>
      <c r="Y58" s="315"/>
      <c r="Z58" s="315"/>
      <c r="AA58" s="315"/>
      <c r="AB58" s="315"/>
      <c r="AC58" s="315"/>
      <c r="AD58" s="315"/>
      <c r="AE58" s="315"/>
    </row>
    <row r="59" spans="1:31" s="311" customFormat="1" ht="15" customHeight="1">
      <c r="A59" s="400"/>
      <c r="B59" s="534"/>
      <c r="C59" s="386"/>
      <c r="D59" s="684"/>
      <c r="E59" s="585"/>
      <c r="F59" s="590"/>
      <c r="G59" s="316" t="s">
        <v>643</v>
      </c>
      <c r="H59" s="317" t="s">
        <v>642</v>
      </c>
      <c r="I59" s="578">
        <v>0.156</v>
      </c>
      <c r="J59" s="695"/>
      <c r="K59" s="318">
        <f t="shared" si="6"/>
        <v>0</v>
      </c>
      <c r="L59" s="749">
        <v>152</v>
      </c>
      <c r="M59" s="695"/>
      <c r="N59" s="729">
        <f t="shared" si="7"/>
        <v>0</v>
      </c>
      <c r="O59" s="730">
        <f t="shared" si="8"/>
        <v>0</v>
      </c>
      <c r="P59" s="535"/>
      <c r="Q59" s="390"/>
      <c r="R59" s="386"/>
      <c r="S59" s="386"/>
      <c r="T59" s="413"/>
      <c r="U59" s="315"/>
      <c r="V59" s="315"/>
      <c r="W59" s="315"/>
      <c r="X59" s="315"/>
      <c r="Y59" s="315"/>
      <c r="Z59" s="315"/>
      <c r="AA59" s="315"/>
      <c r="AB59" s="315"/>
      <c r="AC59" s="315"/>
      <c r="AD59" s="315"/>
      <c r="AE59" s="315"/>
    </row>
    <row r="60" spans="1:31" s="311" customFormat="1" ht="15" customHeight="1">
      <c r="A60" s="400"/>
      <c r="B60" s="534"/>
      <c r="C60" s="386"/>
      <c r="D60" s="684"/>
      <c r="E60" s="585"/>
      <c r="F60" s="590"/>
      <c r="G60" s="316" t="s">
        <v>644</v>
      </c>
      <c r="H60" s="317" t="s">
        <v>642</v>
      </c>
      <c r="I60" s="578">
        <v>0.0343</v>
      </c>
      <c r="J60" s="695"/>
      <c r="K60" s="318">
        <f t="shared" si="6"/>
        <v>0</v>
      </c>
      <c r="L60" s="749">
        <v>152</v>
      </c>
      <c r="M60" s="695"/>
      <c r="N60" s="729">
        <f t="shared" si="7"/>
        <v>0</v>
      </c>
      <c r="O60" s="730">
        <f t="shared" si="8"/>
        <v>0</v>
      </c>
      <c r="P60" s="535"/>
      <c r="Q60" s="390"/>
      <c r="R60" s="386"/>
      <c r="S60" s="386"/>
      <c r="T60" s="413"/>
      <c r="U60" s="315"/>
      <c r="V60" s="315"/>
      <c r="W60" s="315"/>
      <c r="X60" s="315"/>
      <c r="Y60" s="315"/>
      <c r="Z60" s="315"/>
      <c r="AA60" s="315"/>
      <c r="AB60" s="315"/>
      <c r="AC60" s="315"/>
      <c r="AD60" s="315"/>
      <c r="AE60" s="315"/>
    </row>
    <row r="61" spans="1:31" s="311" customFormat="1" ht="15" customHeight="1" thickBot="1">
      <c r="A61" s="400"/>
      <c r="B61" s="534"/>
      <c r="C61" s="386"/>
      <c r="D61" s="685"/>
      <c r="E61" s="586"/>
      <c r="F61" s="591"/>
      <c r="G61" s="319" t="s">
        <v>645</v>
      </c>
      <c r="H61" s="320" t="s">
        <v>642</v>
      </c>
      <c r="I61" s="723">
        <v>46.4</v>
      </c>
      <c r="J61" s="696"/>
      <c r="K61" s="321">
        <f t="shared" si="6"/>
        <v>0</v>
      </c>
      <c r="L61" s="748">
        <v>152</v>
      </c>
      <c r="M61" s="696"/>
      <c r="N61" s="729">
        <f t="shared" si="7"/>
        <v>0</v>
      </c>
      <c r="O61" s="730">
        <f t="shared" si="8"/>
        <v>0</v>
      </c>
      <c r="P61" s="535"/>
      <c r="Q61" s="390"/>
      <c r="R61" s="386"/>
      <c r="S61" s="386"/>
      <c r="T61" s="413"/>
      <c r="U61" s="315"/>
      <c r="V61" s="315"/>
      <c r="W61" s="315"/>
      <c r="X61" s="315"/>
      <c r="Y61" s="315"/>
      <c r="Z61" s="315"/>
      <c r="AA61" s="315"/>
      <c r="AB61" s="315"/>
      <c r="AC61" s="315"/>
      <c r="AD61" s="315"/>
      <c r="AE61" s="315"/>
    </row>
    <row r="62" spans="1:31" s="311" customFormat="1" ht="15" customHeight="1">
      <c r="A62" s="400"/>
      <c r="B62" s="534"/>
      <c r="C62" s="386"/>
      <c r="D62" s="683"/>
      <c r="E62" s="584"/>
      <c r="F62" s="592"/>
      <c r="G62" s="312" t="s">
        <v>641</v>
      </c>
      <c r="H62" s="313" t="s">
        <v>646</v>
      </c>
      <c r="I62" s="578">
        <v>0.137</v>
      </c>
      <c r="J62" s="694"/>
      <c r="K62" s="314">
        <f t="shared" si="6"/>
        <v>0</v>
      </c>
      <c r="L62" s="753">
        <v>162</v>
      </c>
      <c r="M62" s="694"/>
      <c r="N62" s="729">
        <f t="shared" si="7"/>
        <v>0</v>
      </c>
      <c r="O62" s="730">
        <f t="shared" si="8"/>
        <v>0</v>
      </c>
      <c r="P62" s="535"/>
      <c r="Q62" s="390"/>
      <c r="R62" s="386"/>
      <c r="S62" s="386"/>
      <c r="T62" s="413"/>
      <c r="U62" s="315"/>
      <c r="V62" s="315"/>
      <c r="W62" s="315"/>
      <c r="X62" s="315"/>
      <c r="Y62" s="315"/>
      <c r="Z62" s="315"/>
      <c r="AA62" s="315"/>
      <c r="AB62" s="315"/>
      <c r="AC62" s="315"/>
      <c r="AD62" s="315"/>
      <c r="AE62" s="315"/>
    </row>
    <row r="63" spans="1:31" s="311" customFormat="1" ht="15" customHeight="1">
      <c r="A63" s="400"/>
      <c r="B63" s="534"/>
      <c r="C63" s="386"/>
      <c r="D63" s="684"/>
      <c r="E63" s="585"/>
      <c r="F63" s="590"/>
      <c r="G63" s="316" t="s">
        <v>643</v>
      </c>
      <c r="H63" s="317" t="s">
        <v>646</v>
      </c>
      <c r="I63" s="578">
        <v>0.165</v>
      </c>
      <c r="J63" s="695"/>
      <c r="K63" s="318">
        <f t="shared" si="6"/>
        <v>0</v>
      </c>
      <c r="L63" s="608">
        <v>162</v>
      </c>
      <c r="M63" s="695"/>
      <c r="N63" s="729">
        <f t="shared" si="7"/>
        <v>0</v>
      </c>
      <c r="O63" s="730">
        <f t="shared" si="8"/>
        <v>0</v>
      </c>
      <c r="P63" s="535"/>
      <c r="Q63" s="390"/>
      <c r="R63" s="386"/>
      <c r="S63" s="386"/>
      <c r="T63" s="413"/>
      <c r="U63" s="315"/>
      <c r="V63" s="315"/>
      <c r="W63" s="315"/>
      <c r="X63" s="315"/>
      <c r="Y63" s="315"/>
      <c r="Z63" s="315"/>
      <c r="AA63" s="315"/>
      <c r="AB63" s="315"/>
      <c r="AC63" s="315"/>
      <c r="AD63" s="315"/>
      <c r="AE63" s="315"/>
    </row>
    <row r="64" spans="1:31" s="311" customFormat="1" ht="15" customHeight="1">
      <c r="A64" s="400"/>
      <c r="B64" s="534"/>
      <c r="C64" s="386"/>
      <c r="D64" s="684"/>
      <c r="E64" s="585"/>
      <c r="F64" s="590"/>
      <c r="G64" s="316" t="s">
        <v>644</v>
      </c>
      <c r="H64" s="317" t="s">
        <v>646</v>
      </c>
      <c r="I64" s="578">
        <v>0.0362</v>
      </c>
      <c r="J64" s="695"/>
      <c r="K64" s="318">
        <f t="shared" si="6"/>
        <v>0</v>
      </c>
      <c r="L64" s="608">
        <v>162</v>
      </c>
      <c r="M64" s="695"/>
      <c r="N64" s="729">
        <f t="shared" si="7"/>
        <v>0</v>
      </c>
      <c r="O64" s="730">
        <f t="shared" si="8"/>
        <v>0</v>
      </c>
      <c r="P64" s="535"/>
      <c r="Q64" s="390"/>
      <c r="R64" s="386"/>
      <c r="S64" s="386"/>
      <c r="T64" s="413"/>
      <c r="U64" s="315"/>
      <c r="V64" s="315"/>
      <c r="W64" s="315"/>
      <c r="X64" s="315"/>
      <c r="Y64" s="315"/>
      <c r="Z64" s="315"/>
      <c r="AA64" s="315"/>
      <c r="AB64" s="315"/>
      <c r="AC64" s="315"/>
      <c r="AD64" s="315"/>
      <c r="AE64" s="315"/>
    </row>
    <row r="65" spans="1:31" s="311" customFormat="1" ht="15" customHeight="1" thickBot="1">
      <c r="A65" s="400"/>
      <c r="B65" s="534"/>
      <c r="C65" s="386"/>
      <c r="D65" s="685"/>
      <c r="E65" s="586"/>
      <c r="F65" s="591"/>
      <c r="G65" s="319" t="s">
        <v>645</v>
      </c>
      <c r="H65" s="320" t="s">
        <v>646</v>
      </c>
      <c r="I65" s="579">
        <v>42.6</v>
      </c>
      <c r="J65" s="696"/>
      <c r="K65" s="321">
        <f t="shared" si="6"/>
        <v>0</v>
      </c>
      <c r="L65" s="723">
        <v>162</v>
      </c>
      <c r="M65" s="696"/>
      <c r="N65" s="729">
        <f t="shared" si="7"/>
        <v>0</v>
      </c>
      <c r="O65" s="730">
        <f t="shared" si="8"/>
        <v>0</v>
      </c>
      <c r="P65" s="535"/>
      <c r="Q65" s="390"/>
      <c r="R65" s="386"/>
      <c r="S65" s="386"/>
      <c r="T65" s="413"/>
      <c r="U65" s="315"/>
      <c r="V65" s="315"/>
      <c r="W65" s="315"/>
      <c r="X65" s="315"/>
      <c r="Y65" s="315"/>
      <c r="Z65" s="315"/>
      <c r="AA65" s="315"/>
      <c r="AB65" s="315"/>
      <c r="AC65" s="315"/>
      <c r="AD65" s="315"/>
      <c r="AE65" s="315"/>
    </row>
    <row r="66" spans="1:31" s="311" customFormat="1" ht="15" customHeight="1">
      <c r="A66" s="400"/>
      <c r="B66" s="534"/>
      <c r="C66" s="386"/>
      <c r="D66" s="684"/>
      <c r="E66" s="585"/>
      <c r="F66" s="590"/>
      <c r="G66" s="316" t="s">
        <v>641</v>
      </c>
      <c r="H66" s="317" t="s">
        <v>695</v>
      </c>
      <c r="I66" s="588">
        <v>0.143</v>
      </c>
      <c r="J66" s="695"/>
      <c r="K66" s="318">
        <f t="shared" si="6"/>
        <v>0</v>
      </c>
      <c r="L66" s="754">
        <v>169</v>
      </c>
      <c r="M66" s="695"/>
      <c r="N66" s="729">
        <f t="shared" si="7"/>
        <v>0</v>
      </c>
      <c r="O66" s="730">
        <f t="shared" si="8"/>
        <v>0</v>
      </c>
      <c r="P66" s="535"/>
      <c r="Q66" s="390"/>
      <c r="R66" s="386"/>
      <c r="S66" s="386"/>
      <c r="T66" s="413"/>
      <c r="U66" s="315"/>
      <c r="V66" s="315"/>
      <c r="W66" s="315"/>
      <c r="X66" s="315"/>
      <c r="Y66" s="315"/>
      <c r="Z66" s="315"/>
      <c r="AA66" s="315"/>
      <c r="AB66" s="315"/>
      <c r="AC66" s="315"/>
      <c r="AD66" s="315"/>
      <c r="AE66" s="315"/>
    </row>
    <row r="67" spans="1:31" s="311" customFormat="1" ht="15" customHeight="1">
      <c r="A67" s="400"/>
      <c r="B67" s="534"/>
      <c r="C67" s="386"/>
      <c r="D67" s="684"/>
      <c r="E67" s="585"/>
      <c r="F67" s="590"/>
      <c r="G67" s="316" t="s">
        <v>651</v>
      </c>
      <c r="H67" s="317" t="s">
        <v>695</v>
      </c>
      <c r="I67" s="794">
        <v>0.172</v>
      </c>
      <c r="J67" s="695"/>
      <c r="K67" s="318">
        <f t="shared" si="6"/>
        <v>0</v>
      </c>
      <c r="L67" s="754">
        <v>169</v>
      </c>
      <c r="M67" s="695"/>
      <c r="N67" s="729">
        <f t="shared" si="7"/>
        <v>0</v>
      </c>
      <c r="O67" s="730">
        <f t="shared" si="8"/>
        <v>0</v>
      </c>
      <c r="P67" s="535"/>
      <c r="Q67" s="390"/>
      <c r="R67" s="386"/>
      <c r="S67" s="386"/>
      <c r="T67" s="413"/>
      <c r="U67" s="315"/>
      <c r="V67" s="315"/>
      <c r="W67" s="315"/>
      <c r="X67" s="315"/>
      <c r="Y67" s="315"/>
      <c r="Z67" s="315"/>
      <c r="AA67" s="315"/>
      <c r="AB67" s="315"/>
      <c r="AC67" s="315"/>
      <c r="AD67" s="315"/>
      <c r="AE67" s="315"/>
    </row>
    <row r="68" spans="1:31" s="311" customFormat="1" ht="15" customHeight="1">
      <c r="A68" s="400"/>
      <c r="B68" s="534"/>
      <c r="C68" s="386"/>
      <c r="D68" s="684"/>
      <c r="E68" s="585"/>
      <c r="F68" s="590"/>
      <c r="G68" s="316" t="s">
        <v>652</v>
      </c>
      <c r="H68" s="317" t="s">
        <v>695</v>
      </c>
      <c r="I68" s="795">
        <v>6.01</v>
      </c>
      <c r="J68" s="695"/>
      <c r="K68" s="318">
        <f t="shared" si="6"/>
        <v>0</v>
      </c>
      <c r="L68" s="754">
        <v>169</v>
      </c>
      <c r="M68" s="695"/>
      <c r="N68" s="729">
        <f t="shared" si="7"/>
        <v>0</v>
      </c>
      <c r="O68" s="730">
        <f t="shared" si="8"/>
        <v>0</v>
      </c>
      <c r="P68" s="535"/>
      <c r="Q68" s="390"/>
      <c r="R68" s="386"/>
      <c r="S68" s="386"/>
      <c r="T68" s="413"/>
      <c r="U68" s="315"/>
      <c r="V68" s="315"/>
      <c r="W68" s="315"/>
      <c r="X68" s="315"/>
      <c r="Y68" s="315"/>
      <c r="Z68" s="315"/>
      <c r="AA68" s="315"/>
      <c r="AB68" s="315"/>
      <c r="AC68" s="315"/>
      <c r="AD68" s="315"/>
      <c r="AE68" s="315"/>
    </row>
    <row r="69" spans="1:31" s="311" customFormat="1" ht="15" customHeight="1" thickBot="1">
      <c r="A69" s="400"/>
      <c r="B69" s="534"/>
      <c r="C69" s="386"/>
      <c r="D69" s="769"/>
      <c r="E69" s="768"/>
      <c r="F69" s="591"/>
      <c r="G69" s="319" t="s">
        <v>645</v>
      </c>
      <c r="H69" s="320" t="s">
        <v>695</v>
      </c>
      <c r="I69" s="755">
        <v>42.2</v>
      </c>
      <c r="J69" s="696"/>
      <c r="K69" s="321">
        <f t="shared" si="6"/>
        <v>0</v>
      </c>
      <c r="L69" s="780">
        <v>169</v>
      </c>
      <c r="M69" s="696"/>
      <c r="N69" s="729">
        <f t="shared" si="7"/>
        <v>0</v>
      </c>
      <c r="O69" s="730">
        <f t="shared" si="8"/>
        <v>0</v>
      </c>
      <c r="P69" s="535"/>
      <c r="Q69" s="390"/>
      <c r="R69" s="386"/>
      <c r="S69" s="386"/>
      <c r="T69" s="413"/>
      <c r="U69" s="315"/>
      <c r="V69" s="315"/>
      <c r="W69" s="315"/>
      <c r="X69" s="315"/>
      <c r="Y69" s="315"/>
      <c r="Z69" s="315"/>
      <c r="AA69" s="315"/>
      <c r="AB69" s="315"/>
      <c r="AC69" s="315"/>
      <c r="AD69" s="315"/>
      <c r="AE69" s="315"/>
    </row>
    <row r="70" spans="1:31" s="311" customFormat="1" ht="15" customHeight="1">
      <c r="A70" s="400"/>
      <c r="B70" s="534"/>
      <c r="C70" s="386"/>
      <c r="D70" s="689"/>
      <c r="E70" s="593"/>
      <c r="F70" s="592"/>
      <c r="G70" s="312" t="s">
        <v>653</v>
      </c>
      <c r="H70" s="313" t="s">
        <v>696</v>
      </c>
      <c r="I70" s="609">
        <v>27</v>
      </c>
      <c r="J70" s="694"/>
      <c r="K70" s="314">
        <f t="shared" si="6"/>
        <v>0</v>
      </c>
      <c r="L70" s="781">
        <v>205</v>
      </c>
      <c r="M70" s="694"/>
      <c r="N70" s="729">
        <f t="shared" si="7"/>
        <v>0</v>
      </c>
      <c r="O70" s="730">
        <f t="shared" si="8"/>
        <v>0</v>
      </c>
      <c r="P70" s="535"/>
      <c r="Q70" s="390"/>
      <c r="R70" s="386"/>
      <c r="S70" s="386"/>
      <c r="T70" s="413"/>
      <c r="U70" s="315"/>
      <c r="V70" s="315"/>
      <c r="W70" s="315"/>
      <c r="X70" s="315"/>
      <c r="Y70" s="315"/>
      <c r="Z70" s="315"/>
      <c r="AA70" s="315"/>
      <c r="AB70" s="315"/>
      <c r="AC70" s="315"/>
      <c r="AD70" s="315"/>
      <c r="AE70" s="315"/>
    </row>
    <row r="71" spans="1:31" s="311" customFormat="1" ht="15" customHeight="1" thickBot="1">
      <c r="A71" s="400"/>
      <c r="B71" s="534"/>
      <c r="C71" s="386"/>
      <c r="D71" s="688"/>
      <c r="E71" s="587"/>
      <c r="F71" s="591"/>
      <c r="G71" s="319" t="s">
        <v>645</v>
      </c>
      <c r="H71" s="320" t="s">
        <v>696</v>
      </c>
      <c r="I71" s="764">
        <v>29.8</v>
      </c>
      <c r="J71" s="696"/>
      <c r="K71" s="321">
        <f t="shared" si="6"/>
        <v>0</v>
      </c>
      <c r="L71" s="765">
        <v>205</v>
      </c>
      <c r="M71" s="696"/>
      <c r="N71" s="729">
        <f t="shared" si="7"/>
        <v>0</v>
      </c>
      <c r="O71" s="730">
        <f t="shared" si="8"/>
        <v>0</v>
      </c>
      <c r="P71" s="535"/>
      <c r="Q71" s="390"/>
      <c r="R71" s="386"/>
      <c r="S71" s="386"/>
      <c r="T71" s="413"/>
      <c r="U71" s="315"/>
      <c r="V71" s="315"/>
      <c r="W71" s="315"/>
      <c r="X71" s="315"/>
      <c r="Y71" s="315"/>
      <c r="Z71" s="315"/>
      <c r="AA71" s="315"/>
      <c r="AB71" s="315"/>
      <c r="AC71" s="315"/>
      <c r="AD71" s="315"/>
      <c r="AE71" s="315"/>
    </row>
    <row r="72" spans="1:31" s="311" customFormat="1" ht="14.25" customHeight="1" thickBot="1">
      <c r="A72" s="400"/>
      <c r="B72" s="534"/>
      <c r="C72" s="386"/>
      <c r="D72" s="771"/>
      <c r="E72" s="770"/>
      <c r="F72" s="756"/>
      <c r="G72" s="757"/>
      <c r="H72" s="758" t="s">
        <v>654</v>
      </c>
      <c r="I72" s="759"/>
      <c r="J72" s="760"/>
      <c r="K72" s="761">
        <f t="shared" si="6"/>
        <v>0</v>
      </c>
      <c r="L72" s="762"/>
      <c r="M72" s="763"/>
      <c r="N72" s="729">
        <f t="shared" si="7"/>
        <v>0</v>
      </c>
      <c r="O72" s="730">
        <f t="shared" si="8"/>
        <v>0</v>
      </c>
      <c r="P72" s="535"/>
      <c r="Q72" s="390"/>
      <c r="R72" s="386"/>
      <c r="S72" s="386"/>
      <c r="T72" s="413"/>
      <c r="U72" s="315"/>
      <c r="V72" s="315"/>
      <c r="W72" s="315"/>
      <c r="X72" s="315"/>
      <c r="Y72" s="315"/>
      <c r="Z72" s="315"/>
      <c r="AA72" s="315"/>
      <c r="AB72" s="315"/>
      <c r="AC72" s="315"/>
      <c r="AD72" s="315"/>
      <c r="AE72" s="315"/>
    </row>
    <row r="73" spans="1:31" s="311" customFormat="1" ht="1.5" customHeight="1" hidden="1" thickBot="1">
      <c r="A73" s="400"/>
      <c r="B73" s="537"/>
      <c r="C73" s="538" t="s">
        <v>656</v>
      </c>
      <c r="D73" s="322"/>
      <c r="E73" s="322"/>
      <c r="F73" s="323"/>
      <c r="G73" s="324"/>
      <c r="H73" s="315"/>
      <c r="I73" s="325"/>
      <c r="J73" s="326"/>
      <c r="K73" s="327"/>
      <c r="L73" s="315"/>
      <c r="M73" s="315"/>
      <c r="N73" s="731"/>
      <c r="O73" s="732"/>
      <c r="P73" s="535"/>
      <c r="Q73" s="390"/>
      <c r="R73" s="386"/>
      <c r="S73" s="386"/>
      <c r="T73" s="413"/>
      <c r="U73" s="315"/>
      <c r="V73" s="315"/>
      <c r="W73" s="315"/>
      <c r="X73" s="315"/>
      <c r="Y73" s="315"/>
      <c r="Z73" s="315"/>
      <c r="AA73" s="315"/>
      <c r="AB73" s="315"/>
      <c r="AC73" s="315"/>
      <c r="AD73" s="315"/>
      <c r="AE73" s="315"/>
    </row>
    <row r="74" spans="1:20" s="309" customFormat="1" ht="20.25" customHeight="1" thickBot="1">
      <c r="A74" s="401"/>
      <c r="B74" s="530"/>
      <c r="C74" s="612" t="s">
        <v>187</v>
      </c>
      <c r="D74" s="613"/>
      <c r="E74" s="622"/>
      <c r="F74" s="614"/>
      <c r="G74" s="615"/>
      <c r="H74" s="615"/>
      <c r="I74" s="616"/>
      <c r="J74" s="615"/>
      <c r="K74" s="617"/>
      <c r="L74" s="615"/>
      <c r="M74" s="615"/>
      <c r="N74" s="733">
        <f>(SUM(N26:N73)+N24)/2</f>
        <v>0</v>
      </c>
      <c r="O74" s="733">
        <f>(SUM(O26:O73)+O24)/2</f>
        <v>0</v>
      </c>
      <c r="P74" s="411"/>
      <c r="Q74" s="414"/>
      <c r="R74" s="414"/>
      <c r="S74" s="414"/>
      <c r="T74" s="415"/>
    </row>
    <row r="75" spans="2:17" s="370" customFormat="1" ht="20.25" customHeight="1" thickBot="1" thickTop="1">
      <c r="B75" s="511"/>
      <c r="C75" s="601" t="s">
        <v>16</v>
      </c>
      <c r="D75" s="414"/>
      <c r="E75" s="414"/>
      <c r="F75" s="414"/>
      <c r="G75" s="414"/>
      <c r="H75" s="414"/>
      <c r="I75" s="414"/>
      <c r="J75" s="414"/>
      <c r="K75" s="414"/>
      <c r="L75" s="414"/>
      <c r="M75" s="611"/>
      <c r="N75" s="414"/>
      <c r="O75" s="414"/>
      <c r="P75" s="414"/>
      <c r="Q75" s="618"/>
    </row>
    <row r="76" spans="1:19" ht="15" customHeight="1" thickTop="1">
      <c r="A76" s="329"/>
      <c r="B76" s="330"/>
      <c r="C76" s="330"/>
      <c r="D76" s="330"/>
      <c r="E76" s="330"/>
      <c r="F76" s="330"/>
      <c r="G76" s="816"/>
      <c r="H76" s="816"/>
      <c r="I76" s="330"/>
      <c r="J76" s="817"/>
      <c r="K76" s="330"/>
      <c r="L76" s="816"/>
      <c r="M76" s="816"/>
      <c r="N76" s="816"/>
      <c r="O76" s="330"/>
      <c r="P76" s="330"/>
      <c r="Q76" s="330"/>
      <c r="R76" s="330"/>
      <c r="S76" s="306"/>
    </row>
    <row r="77" spans="2:19" s="4" customFormat="1" ht="18" customHeight="1" thickBot="1">
      <c r="B77" s="436"/>
      <c r="C77" s="436"/>
      <c r="D77" s="436"/>
      <c r="E77" s="437"/>
      <c r="F77" s="438"/>
      <c r="G77" s="439"/>
      <c r="H77" s="440"/>
      <c r="I77" s="440"/>
      <c r="J77" s="440"/>
      <c r="K77" s="440"/>
      <c r="L77" s="1"/>
      <c r="M77" s="1"/>
      <c r="N77" s="1"/>
      <c r="O77" s="440"/>
      <c r="P77" s="440"/>
      <c r="Q77" s="1"/>
      <c r="R77" s="1"/>
      <c r="S77" s="1"/>
    </row>
    <row r="78" spans="2:41" s="4" customFormat="1" ht="29.25" customHeight="1" thickBot="1" thickTop="1">
      <c r="B78" s="510"/>
      <c r="C78" s="539"/>
      <c r="D78" s="539"/>
      <c r="E78" s="539"/>
      <c r="F78" s="539"/>
      <c r="G78" s="539"/>
      <c r="H78" s="539"/>
      <c r="I78" s="539"/>
      <c r="J78" s="539"/>
      <c r="K78" s="539"/>
      <c r="L78" s="539"/>
      <c r="M78" s="539"/>
      <c r="N78" s="512"/>
      <c r="O78" s="55"/>
      <c r="P78" s="56"/>
      <c r="Q78" s="1"/>
      <c r="R78" s="1"/>
      <c r="S78" s="1"/>
      <c r="T78" s="1"/>
      <c r="U78" s="1"/>
      <c r="AE78" s="1"/>
      <c r="AF78" s="1"/>
      <c r="AG78" s="1"/>
      <c r="AH78" s="1"/>
      <c r="AI78" s="1"/>
      <c r="AJ78" s="1"/>
      <c r="AK78" s="1"/>
      <c r="AL78" s="1"/>
      <c r="AM78" s="1"/>
      <c r="AN78" s="1"/>
      <c r="AO78" s="1"/>
    </row>
    <row r="79" spans="1:42" ht="28.5" customHeight="1" thickTop="1">
      <c r="A79" s="397"/>
      <c r="B79" s="540"/>
      <c r="C79" s="428" t="s">
        <v>20</v>
      </c>
      <c r="D79" s="429"/>
      <c r="E79" s="429"/>
      <c r="F79" s="429"/>
      <c r="G79" s="430"/>
      <c r="H79" s="431"/>
      <c r="I79" s="431"/>
      <c r="J79" s="431"/>
      <c r="K79" s="432"/>
      <c r="L79" s="432"/>
      <c r="M79" s="432"/>
      <c r="N79" s="431"/>
      <c r="O79" s="65"/>
      <c r="P79" s="410"/>
      <c r="Q79" s="443"/>
      <c r="R79" s="443"/>
      <c r="S79" s="443"/>
      <c r="T79" s="443"/>
      <c r="U79" s="443"/>
      <c r="V79" s="505"/>
      <c r="W79" s="54"/>
      <c r="X79" s="55"/>
      <c r="Y79" s="149"/>
      <c r="Z79" s="149"/>
      <c r="AA79" s="149"/>
      <c r="AB79" s="55"/>
      <c r="AC79" s="55"/>
      <c r="AD79" s="55"/>
      <c r="AE79" s="466"/>
      <c r="AF79" s="745"/>
      <c r="AG79" s="1"/>
      <c r="AH79" s="1"/>
      <c r="AI79" s="1"/>
      <c r="AJ79" s="1"/>
      <c r="AK79" s="1"/>
      <c r="AL79" s="1"/>
      <c r="AM79" s="1"/>
      <c r="AN79" s="1"/>
      <c r="AO79" s="1"/>
      <c r="AP79" s="306"/>
    </row>
    <row r="80" spans="1:33" s="4" customFormat="1" ht="18" customHeight="1">
      <c r="A80" s="335"/>
      <c r="B80" s="441" t="s">
        <v>22</v>
      </c>
      <c r="C80" s="433"/>
      <c r="D80" s="433"/>
      <c r="E80" s="433"/>
      <c r="F80" s="434"/>
      <c r="G80" s="435"/>
      <c r="H80" s="190"/>
      <c r="I80" s="65"/>
      <c r="J80" s="65"/>
      <c r="K80" s="65"/>
      <c r="L80" s="65"/>
      <c r="M80" s="65"/>
      <c r="N80" s="65"/>
      <c r="O80" s="65"/>
      <c r="P80" s="58"/>
      <c r="Q80" s="65"/>
      <c r="R80" s="65"/>
      <c r="S80" s="65"/>
      <c r="T80" s="65"/>
      <c r="U80" s="65"/>
      <c r="V80" s="58"/>
      <c r="W80" s="89"/>
      <c r="X80" s="93"/>
      <c r="Y80" s="734" t="s">
        <v>14</v>
      </c>
      <c r="Z80" s="93"/>
      <c r="AA80" s="93"/>
      <c r="AB80" s="93"/>
      <c r="AC80" s="93"/>
      <c r="AD80" s="86"/>
      <c r="AG80" s="1"/>
    </row>
    <row r="81" spans="2:30" s="4" customFormat="1" ht="18" customHeight="1">
      <c r="B81" s="441"/>
      <c r="C81" s="65"/>
      <c r="D81" s="190"/>
      <c r="E81" s="190"/>
      <c r="F81" s="190"/>
      <c r="G81" s="190"/>
      <c r="H81" s="65"/>
      <c r="I81" s="65"/>
      <c r="J81" s="65"/>
      <c r="K81" s="65"/>
      <c r="L81" s="65"/>
      <c r="M81" s="65"/>
      <c r="N81" s="65"/>
      <c r="O81" s="65"/>
      <c r="P81" s="58"/>
      <c r="Q81" s="65"/>
      <c r="R81" s="65"/>
      <c r="S81" s="65"/>
      <c r="T81" s="65"/>
      <c r="U81" s="65"/>
      <c r="V81" s="58"/>
      <c r="W81" s="89"/>
      <c r="X81" s="737"/>
      <c r="Y81" s="735" t="s">
        <v>3</v>
      </c>
      <c r="Z81" s="736"/>
      <c r="AA81" s="736"/>
      <c r="AB81" s="736"/>
      <c r="AC81" s="736"/>
      <c r="AD81" s="86"/>
    </row>
    <row r="82" spans="2:30" s="4" customFormat="1" ht="18" customHeight="1">
      <c r="B82" s="57"/>
      <c r="C82" s="65"/>
      <c r="D82" s="150"/>
      <c r="E82" s="919" t="s">
        <v>353</v>
      </c>
      <c r="F82" s="942"/>
      <c r="G82" s="919" t="s">
        <v>368</v>
      </c>
      <c r="H82" s="941"/>
      <c r="I82" s="942"/>
      <c r="J82" s="919" t="s">
        <v>369</v>
      </c>
      <c r="K82" s="920"/>
      <c r="L82" s="918"/>
      <c r="M82" s="962" t="s">
        <v>370</v>
      </c>
      <c r="N82" s="920"/>
      <c r="O82" s="918"/>
      <c r="P82" s="58"/>
      <c r="Q82" s="65"/>
      <c r="R82" s="65"/>
      <c r="S82" s="65"/>
      <c r="T82" s="65"/>
      <c r="U82" s="65"/>
      <c r="V82" s="58"/>
      <c r="W82" s="89"/>
      <c r="X82" s="740"/>
      <c r="Y82" s="738" t="s">
        <v>4</v>
      </c>
      <c r="Z82" s="739"/>
      <c r="AA82" s="739"/>
      <c r="AB82" s="739"/>
      <c r="AC82" s="93"/>
      <c r="AD82" s="86"/>
    </row>
    <row r="83" spans="2:30" s="4" customFormat="1" ht="50.25" customHeight="1">
      <c r="B83" s="57"/>
      <c r="C83" s="65"/>
      <c r="D83" s="150"/>
      <c r="E83" s="416" t="s">
        <v>282</v>
      </c>
      <c r="F83" s="163" t="s">
        <v>283</v>
      </c>
      <c r="G83" s="163" t="s">
        <v>257</v>
      </c>
      <c r="H83" s="3" t="s">
        <v>396</v>
      </c>
      <c r="I83" s="126" t="s">
        <v>258</v>
      </c>
      <c r="J83" s="127" t="s">
        <v>259</v>
      </c>
      <c r="K83" s="223" t="s">
        <v>262</v>
      </c>
      <c r="L83" s="223" t="s">
        <v>271</v>
      </c>
      <c r="M83" s="128" t="s">
        <v>526</v>
      </c>
      <c r="N83" s="128" t="s">
        <v>532</v>
      </c>
      <c r="O83" s="128" t="s">
        <v>533</v>
      </c>
      <c r="P83" s="58"/>
      <c r="Q83" s="65"/>
      <c r="R83" s="65"/>
      <c r="S83" s="65"/>
      <c r="T83" s="65"/>
      <c r="U83" s="65"/>
      <c r="V83" s="58"/>
      <c r="W83" s="89"/>
      <c r="X83" s="39" t="s">
        <v>270</v>
      </c>
      <c r="Y83" s="34" t="s">
        <v>106</v>
      </c>
      <c r="Z83" s="34" t="s">
        <v>107</v>
      </c>
      <c r="AA83" s="34" t="s">
        <v>108</v>
      </c>
      <c r="AB83" s="711" t="s">
        <v>109</v>
      </c>
      <c r="AC83" s="714" t="s">
        <v>286</v>
      </c>
      <c r="AD83" s="86"/>
    </row>
    <row r="84" spans="2:30" s="4" customFormat="1" ht="96" customHeight="1">
      <c r="B84" s="67"/>
      <c r="C84" s="134"/>
      <c r="D84" s="151"/>
      <c r="E84" s="634" t="s">
        <v>280</v>
      </c>
      <c r="F84" s="164" t="s">
        <v>397</v>
      </c>
      <c r="G84" s="5" t="s">
        <v>2</v>
      </c>
      <c r="H84" s="5" t="s">
        <v>24</v>
      </c>
      <c r="I84" s="5" t="s">
        <v>25</v>
      </c>
      <c r="J84" s="636" t="s">
        <v>26</v>
      </c>
      <c r="K84" s="636" t="s">
        <v>27</v>
      </c>
      <c r="L84" s="636" t="s">
        <v>28</v>
      </c>
      <c r="M84" s="636" t="s">
        <v>29</v>
      </c>
      <c r="N84" s="636" t="s">
        <v>30</v>
      </c>
      <c r="O84" s="636" t="s">
        <v>31</v>
      </c>
      <c r="P84" s="58"/>
      <c r="Q84" s="65"/>
      <c r="R84" s="65"/>
      <c r="S84" s="65"/>
      <c r="T84" s="65"/>
      <c r="U84" s="65"/>
      <c r="V84" s="58"/>
      <c r="W84" s="89"/>
      <c r="X84" s="43" t="s">
        <v>303</v>
      </c>
      <c r="Y84" s="184"/>
      <c r="Z84" s="184"/>
      <c r="AA84" s="184"/>
      <c r="AB84" s="244"/>
      <c r="AC84" s="244"/>
      <c r="AD84" s="86"/>
    </row>
    <row r="85" spans="2:30" s="4" customFormat="1" ht="33" customHeight="1">
      <c r="B85" s="57"/>
      <c r="C85" s="65"/>
      <c r="D85" s="150"/>
      <c r="E85" s="635"/>
      <c r="F85" s="186" t="s">
        <v>194</v>
      </c>
      <c r="G85" s="186" t="s">
        <v>23</v>
      </c>
      <c r="H85" s="186" t="s">
        <v>199</v>
      </c>
      <c r="I85" s="186" t="s">
        <v>200</v>
      </c>
      <c r="J85" s="8" t="s">
        <v>32</v>
      </c>
      <c r="K85" s="8" t="s">
        <v>33</v>
      </c>
      <c r="L85" s="8" t="s">
        <v>34</v>
      </c>
      <c r="M85" s="8" t="s">
        <v>35</v>
      </c>
      <c r="N85" s="8" t="s">
        <v>36</v>
      </c>
      <c r="O85" s="8" t="s">
        <v>37</v>
      </c>
      <c r="P85" s="58"/>
      <c r="Q85" s="65"/>
      <c r="R85" s="65"/>
      <c r="S85" s="65"/>
      <c r="T85" s="65"/>
      <c r="U85" s="65"/>
      <c r="V85" s="58"/>
      <c r="W85" s="89"/>
      <c r="X85" s="497" t="s">
        <v>5</v>
      </c>
      <c r="Y85" s="40">
        <v>152</v>
      </c>
      <c r="Z85" s="40">
        <v>0.1</v>
      </c>
      <c r="AA85" s="40">
        <v>0.004</v>
      </c>
      <c r="AB85" s="712">
        <f>Y85+21*Z85+310*AA85</f>
        <v>155.34</v>
      </c>
      <c r="AC85" s="715"/>
      <c r="AD85" s="86"/>
    </row>
    <row r="86" spans="2:30" s="4" customFormat="1" ht="45.75" customHeight="1">
      <c r="B86" s="57"/>
      <c r="C86" s="65"/>
      <c r="D86" s="150"/>
      <c r="E86" s="635"/>
      <c r="F86" s="186"/>
      <c r="G86" s="929" t="s">
        <v>197</v>
      </c>
      <c r="H86" s="930"/>
      <c r="I86" s="931"/>
      <c r="J86" s="8"/>
      <c r="K86" s="135"/>
      <c r="L86" s="135"/>
      <c r="M86" s="8"/>
      <c r="N86" s="135"/>
      <c r="O86" s="135"/>
      <c r="P86" s="58"/>
      <c r="Q86" s="65"/>
      <c r="R86" s="65"/>
      <c r="S86" s="65"/>
      <c r="T86" s="65"/>
      <c r="U86" s="65"/>
      <c r="V86" s="58"/>
      <c r="W86" s="89"/>
      <c r="X86" s="40" t="s">
        <v>6</v>
      </c>
      <c r="Y86" s="40">
        <v>152</v>
      </c>
      <c r="Z86" s="40">
        <v>0.29</v>
      </c>
      <c r="AA86" s="40">
        <v>0.0009</v>
      </c>
      <c r="AB86" s="712">
        <f>Y86+21*Z86+310*AA86</f>
        <v>158.369</v>
      </c>
      <c r="AC86" s="715"/>
      <c r="AD86" s="86"/>
    </row>
    <row r="87" spans="2:30" s="4" customFormat="1" ht="27.75" customHeight="1">
      <c r="B87" s="57"/>
      <c r="C87" s="796" t="s">
        <v>398</v>
      </c>
      <c r="D87" s="797" t="s">
        <v>275</v>
      </c>
      <c r="E87" s="640">
        <v>0.75</v>
      </c>
      <c r="F87" s="551">
        <v>100000</v>
      </c>
      <c r="G87" s="84">
        <v>117</v>
      </c>
      <c r="H87" s="801">
        <v>0.01</v>
      </c>
      <c r="I87" s="805">
        <v>0.0002</v>
      </c>
      <c r="J87" s="136">
        <f>$F87*$E87*G87/2205</f>
        <v>3979.591836734694</v>
      </c>
      <c r="K87" s="803">
        <f>$F87*$E87*H87/2205</f>
        <v>0.3401360544217687</v>
      </c>
      <c r="L87" s="803">
        <f>$F87*$E87*I87/2205</f>
        <v>0.006802721088435374</v>
      </c>
      <c r="M87" s="136">
        <f>$F87*(1-$E87)*G87/2205</f>
        <v>1326.530612244898</v>
      </c>
      <c r="N87" s="803">
        <f>$F87*(1-$E87)*H87/2205</f>
        <v>0.11337868480725624</v>
      </c>
      <c r="O87" s="803">
        <f>$F87*(1-$E87)*I87/2205</f>
        <v>0.0022675736961451248</v>
      </c>
      <c r="P87" s="58"/>
      <c r="Q87" s="65"/>
      <c r="R87" s="65"/>
      <c r="S87" s="65"/>
      <c r="T87" s="65"/>
      <c r="U87" s="65"/>
      <c r="V87" s="58"/>
      <c r="W87" s="89"/>
      <c r="X87" s="40" t="s">
        <v>465</v>
      </c>
      <c r="Y87" s="40">
        <v>152</v>
      </c>
      <c r="Z87" s="40">
        <v>0.38</v>
      </c>
      <c r="AA87" s="40">
        <v>0.0009</v>
      </c>
      <c r="AB87" s="712">
        <f>Y87+21*Z87+310*AA87</f>
        <v>160.259</v>
      </c>
      <c r="AC87" s="715"/>
      <c r="AD87" s="86"/>
    </row>
    <row r="88" spans="2:30" s="4" customFormat="1" ht="18" customHeight="1">
      <c r="B88" s="82"/>
      <c r="C88" s="41" t="s">
        <v>272</v>
      </c>
      <c r="D88" s="153" t="s">
        <v>270</v>
      </c>
      <c r="E88" s="633"/>
      <c r="F88" s="12"/>
      <c r="G88" s="12"/>
      <c r="H88" s="11"/>
      <c r="I88" s="36"/>
      <c r="J88" s="137"/>
      <c r="K88" s="137"/>
      <c r="L88" s="12"/>
      <c r="M88" s="12"/>
      <c r="N88" s="12"/>
      <c r="O88" s="12"/>
      <c r="P88" s="58"/>
      <c r="Q88" s="65"/>
      <c r="R88" s="65"/>
      <c r="S88" s="65"/>
      <c r="T88" s="65"/>
      <c r="U88" s="65"/>
      <c r="V88" s="58"/>
      <c r="W88" s="89"/>
      <c r="X88" s="40" t="s">
        <v>273</v>
      </c>
      <c r="Y88" s="40">
        <v>157</v>
      </c>
      <c r="Z88" s="40"/>
      <c r="AA88" s="40"/>
      <c r="AB88" s="712">
        <f>Y88+21*Z88+310*AA88</f>
        <v>157</v>
      </c>
      <c r="AC88" s="715" t="s">
        <v>10</v>
      </c>
      <c r="AD88" s="86"/>
    </row>
    <row r="89" spans="2:30" s="4" customFormat="1" ht="18" customHeight="1">
      <c r="B89" s="57"/>
      <c r="C89" s="679"/>
      <c r="D89" s="680"/>
      <c r="E89" s="658"/>
      <c r="F89" s="656"/>
      <c r="G89" s="656"/>
      <c r="H89" s="878"/>
      <c r="I89" s="802"/>
      <c r="J89" s="133">
        <f>$F89*$E89*G89/2205</f>
        <v>0</v>
      </c>
      <c r="K89" s="807">
        <f>$F89*$E89*H89/2205</f>
        <v>0</v>
      </c>
      <c r="L89" s="807">
        <f>$F89*$E89*I89/2205</f>
        <v>0</v>
      </c>
      <c r="M89" s="133">
        <f>$F89*(1-$E89)*G89/2205</f>
        <v>0</v>
      </c>
      <c r="N89" s="807">
        <f>$F89*(1-$E89)*H89/2205</f>
        <v>0</v>
      </c>
      <c r="O89" s="807">
        <f>$F89*(1-$E89)*I89/2205</f>
        <v>0</v>
      </c>
      <c r="P89" s="58"/>
      <c r="Q89" s="65"/>
      <c r="R89" s="65"/>
      <c r="S89" s="65"/>
      <c r="T89" s="65"/>
      <c r="U89" s="65"/>
      <c r="V89" s="58"/>
      <c r="W89" s="89"/>
      <c r="X89" s="40" t="s">
        <v>570</v>
      </c>
      <c r="Y89" s="168" t="s">
        <v>670</v>
      </c>
      <c r="Z89" s="40"/>
      <c r="AA89" s="40"/>
      <c r="AB89" s="168" t="s">
        <v>7</v>
      </c>
      <c r="AC89" s="715" t="s">
        <v>11</v>
      </c>
      <c r="AD89" s="86"/>
    </row>
    <row r="90" spans="2:30" s="4" customFormat="1" ht="18" customHeight="1">
      <c r="B90" s="57"/>
      <c r="C90" s="679"/>
      <c r="D90" s="680"/>
      <c r="E90" s="658"/>
      <c r="F90" s="656"/>
      <c r="G90" s="656"/>
      <c r="H90" s="878"/>
      <c r="I90" s="802"/>
      <c r="J90" s="133">
        <f aca="true" t="shared" si="9" ref="J90:J102">$F90*$E90*G90/2205</f>
        <v>0</v>
      </c>
      <c r="K90" s="807">
        <f aca="true" t="shared" si="10" ref="K90:K102">$F90*$E90*H90/2205</f>
        <v>0</v>
      </c>
      <c r="L90" s="807">
        <f aca="true" t="shared" si="11" ref="L90:L102">$F90*$E90*I90/2205</f>
        <v>0</v>
      </c>
      <c r="M90" s="133">
        <f aca="true" t="shared" si="12" ref="M90:M102">$F90*(1-$E90)*G90/2205</f>
        <v>0</v>
      </c>
      <c r="N90" s="807">
        <f aca="true" t="shared" si="13" ref="N90:N102">$F90*(1-$E90)*H90/2205</f>
        <v>0</v>
      </c>
      <c r="O90" s="807">
        <f aca="true" t="shared" si="14" ref="O90:O102">$F90*(1-$E90)*I90/2205</f>
        <v>0</v>
      </c>
      <c r="P90" s="58"/>
      <c r="Q90" s="65"/>
      <c r="R90" s="65"/>
      <c r="S90" s="65"/>
      <c r="T90" s="65"/>
      <c r="U90" s="65"/>
      <c r="V90" s="58"/>
      <c r="W90" s="89"/>
      <c r="X90" s="40" t="s">
        <v>572</v>
      </c>
      <c r="Y90" s="168" t="s">
        <v>671</v>
      </c>
      <c r="Z90" s="40"/>
      <c r="AA90" s="40"/>
      <c r="AB90" s="168" t="s">
        <v>8</v>
      </c>
      <c r="AC90" s="715" t="s">
        <v>11</v>
      </c>
      <c r="AD90" s="86"/>
    </row>
    <row r="91" spans="2:30" s="4" customFormat="1" ht="41.25" customHeight="1">
      <c r="B91" s="57"/>
      <c r="C91" s="679"/>
      <c r="D91" s="680"/>
      <c r="E91" s="658"/>
      <c r="F91" s="656"/>
      <c r="G91" s="656"/>
      <c r="H91" s="878"/>
      <c r="I91" s="802"/>
      <c r="J91" s="133">
        <f t="shared" si="9"/>
        <v>0</v>
      </c>
      <c r="K91" s="807">
        <f t="shared" si="10"/>
        <v>0</v>
      </c>
      <c r="L91" s="807">
        <f t="shared" si="11"/>
        <v>0</v>
      </c>
      <c r="M91" s="133">
        <f t="shared" si="12"/>
        <v>0</v>
      </c>
      <c r="N91" s="807">
        <f t="shared" si="13"/>
        <v>0</v>
      </c>
      <c r="O91" s="807">
        <f t="shared" si="14"/>
        <v>0</v>
      </c>
      <c r="P91" s="58"/>
      <c r="Q91" s="65"/>
      <c r="R91" s="65"/>
      <c r="S91" s="65"/>
      <c r="T91" s="65"/>
      <c r="U91" s="65"/>
      <c r="V91" s="58"/>
      <c r="W91" s="89"/>
      <c r="X91" s="40" t="s">
        <v>542</v>
      </c>
      <c r="Y91" s="40">
        <v>162</v>
      </c>
      <c r="Z91" s="40">
        <v>0.009</v>
      </c>
      <c r="AA91" s="40">
        <v>0.066</v>
      </c>
      <c r="AB91" s="712">
        <f>Y91+21*Z91+310*AA91</f>
        <v>182.649</v>
      </c>
      <c r="AC91" s="715"/>
      <c r="AD91" s="86"/>
    </row>
    <row r="92" spans="2:30" s="4" customFormat="1" ht="18" customHeight="1">
      <c r="B92" s="57"/>
      <c r="C92" s="679"/>
      <c r="D92" s="680"/>
      <c r="E92" s="658"/>
      <c r="F92" s="656"/>
      <c r="G92" s="656"/>
      <c r="H92" s="878"/>
      <c r="I92" s="802"/>
      <c r="J92" s="133">
        <f t="shared" si="9"/>
        <v>0</v>
      </c>
      <c r="K92" s="807">
        <f t="shared" si="10"/>
        <v>0</v>
      </c>
      <c r="L92" s="807">
        <f t="shared" si="11"/>
        <v>0</v>
      </c>
      <c r="M92" s="133">
        <f t="shared" si="12"/>
        <v>0</v>
      </c>
      <c r="N92" s="807">
        <f t="shared" si="13"/>
        <v>0</v>
      </c>
      <c r="O92" s="807">
        <f t="shared" si="14"/>
        <v>0</v>
      </c>
      <c r="P92" s="58"/>
      <c r="Q92" s="65"/>
      <c r="R92" s="65"/>
      <c r="S92" s="65"/>
      <c r="T92" s="65"/>
      <c r="U92" s="65"/>
      <c r="V92" s="58"/>
      <c r="W92" s="89"/>
      <c r="X92" s="40" t="s">
        <v>260</v>
      </c>
      <c r="Y92" s="40">
        <v>138</v>
      </c>
      <c r="Z92" s="40"/>
      <c r="AA92" s="40"/>
      <c r="AB92" s="712">
        <f>Y92+21*Z92+310*AA92</f>
        <v>138</v>
      </c>
      <c r="AC92" s="715" t="s">
        <v>10</v>
      </c>
      <c r="AD92" s="86"/>
    </row>
    <row r="93" spans="2:30" s="4" customFormat="1" ht="18" customHeight="1">
      <c r="B93" s="57"/>
      <c r="C93" s="679"/>
      <c r="D93" s="680"/>
      <c r="E93" s="658"/>
      <c r="F93" s="656"/>
      <c r="G93" s="656"/>
      <c r="H93" s="878"/>
      <c r="I93" s="802"/>
      <c r="J93" s="133">
        <f t="shared" si="9"/>
        <v>0</v>
      </c>
      <c r="K93" s="807">
        <f t="shared" si="10"/>
        <v>0</v>
      </c>
      <c r="L93" s="807">
        <f t="shared" si="11"/>
        <v>0</v>
      </c>
      <c r="M93" s="133">
        <f t="shared" si="12"/>
        <v>0</v>
      </c>
      <c r="N93" s="807">
        <f t="shared" si="13"/>
        <v>0</v>
      </c>
      <c r="O93" s="807">
        <f t="shared" si="14"/>
        <v>0</v>
      </c>
      <c r="P93" s="58"/>
      <c r="Q93" s="65"/>
      <c r="R93" s="65"/>
      <c r="S93" s="65"/>
      <c r="T93" s="65"/>
      <c r="U93" s="65"/>
      <c r="V93" s="58"/>
      <c r="W93" s="89"/>
      <c r="X93" s="40" t="s">
        <v>569</v>
      </c>
      <c r="Y93" s="168" t="s">
        <v>458</v>
      </c>
      <c r="Z93" s="40"/>
      <c r="AA93" s="40"/>
      <c r="AB93" s="168" t="s">
        <v>499</v>
      </c>
      <c r="AC93" s="715" t="s">
        <v>11</v>
      </c>
      <c r="AD93" s="86"/>
    </row>
    <row r="94" spans="2:30" s="4" customFormat="1" ht="18" customHeight="1">
      <c r="B94" s="57"/>
      <c r="C94" s="679"/>
      <c r="D94" s="680"/>
      <c r="E94" s="658"/>
      <c r="F94" s="656"/>
      <c r="G94" s="656"/>
      <c r="H94" s="878"/>
      <c r="I94" s="802"/>
      <c r="J94" s="133">
        <f t="shared" si="9"/>
        <v>0</v>
      </c>
      <c r="K94" s="807">
        <f t="shared" si="10"/>
        <v>0</v>
      </c>
      <c r="L94" s="807">
        <f t="shared" si="11"/>
        <v>0</v>
      </c>
      <c r="M94" s="133">
        <f t="shared" si="12"/>
        <v>0</v>
      </c>
      <c r="N94" s="807">
        <f t="shared" si="13"/>
        <v>0</v>
      </c>
      <c r="O94" s="807">
        <f t="shared" si="14"/>
        <v>0</v>
      </c>
      <c r="P94" s="58"/>
      <c r="Q94" s="65"/>
      <c r="R94" s="65"/>
      <c r="S94" s="65"/>
      <c r="T94" s="65"/>
      <c r="U94" s="65"/>
      <c r="V94" s="58"/>
      <c r="W94" s="89"/>
      <c r="X94" s="42" t="s">
        <v>302</v>
      </c>
      <c r="Y94" s="42"/>
      <c r="Z94" s="42"/>
      <c r="AA94" s="42"/>
      <c r="AB94" s="184"/>
      <c r="AC94" s="41"/>
      <c r="AD94" s="86"/>
    </row>
    <row r="95" spans="2:30" s="4" customFormat="1" ht="18" customHeight="1">
      <c r="B95" s="57"/>
      <c r="C95" s="679"/>
      <c r="D95" s="680"/>
      <c r="E95" s="658"/>
      <c r="F95" s="656"/>
      <c r="G95" s="656"/>
      <c r="H95" s="878"/>
      <c r="I95" s="802"/>
      <c r="J95" s="133">
        <f t="shared" si="9"/>
        <v>0</v>
      </c>
      <c r="K95" s="807">
        <f t="shared" si="10"/>
        <v>0</v>
      </c>
      <c r="L95" s="807">
        <f t="shared" si="11"/>
        <v>0</v>
      </c>
      <c r="M95" s="133">
        <f t="shared" si="12"/>
        <v>0</v>
      </c>
      <c r="N95" s="807">
        <f t="shared" si="13"/>
        <v>0</v>
      </c>
      <c r="O95" s="807">
        <f t="shared" si="14"/>
        <v>0</v>
      </c>
      <c r="P95" s="58"/>
      <c r="Q95" s="65"/>
      <c r="R95" s="65"/>
      <c r="S95" s="65"/>
      <c r="T95" s="65"/>
      <c r="U95" s="65"/>
      <c r="V95" s="58"/>
      <c r="W95" s="89"/>
      <c r="X95" s="40" t="s">
        <v>172</v>
      </c>
      <c r="Y95" s="40">
        <v>117</v>
      </c>
      <c r="Z95" s="40">
        <v>0.01</v>
      </c>
      <c r="AA95" s="40">
        <v>0.0002</v>
      </c>
      <c r="AB95" s="712">
        <f>Y95+21*Z95+310*AA95</f>
        <v>117.27199999999999</v>
      </c>
      <c r="AC95" s="715" t="s">
        <v>9</v>
      </c>
      <c r="AD95" s="86"/>
    </row>
    <row r="96" spans="2:41" s="4" customFormat="1" ht="18" customHeight="1">
      <c r="B96" s="57"/>
      <c r="C96" s="679"/>
      <c r="D96" s="680"/>
      <c r="E96" s="658"/>
      <c r="F96" s="656"/>
      <c r="G96" s="656"/>
      <c r="H96" s="878"/>
      <c r="I96" s="802"/>
      <c r="J96" s="133">
        <f t="shared" si="9"/>
        <v>0</v>
      </c>
      <c r="K96" s="807">
        <f t="shared" si="10"/>
        <v>0</v>
      </c>
      <c r="L96" s="807">
        <f t="shared" si="11"/>
        <v>0</v>
      </c>
      <c r="M96" s="133">
        <f t="shared" si="12"/>
        <v>0</v>
      </c>
      <c r="N96" s="807">
        <f t="shared" si="13"/>
        <v>0</v>
      </c>
      <c r="O96" s="807">
        <f t="shared" si="14"/>
        <v>0</v>
      </c>
      <c r="P96" s="58"/>
      <c r="Q96" s="65"/>
      <c r="R96" s="65"/>
      <c r="S96" s="65"/>
      <c r="T96" s="65"/>
      <c r="U96" s="65"/>
      <c r="V96" s="58"/>
      <c r="W96" s="89"/>
      <c r="X96" s="129" t="s">
        <v>12</v>
      </c>
      <c r="Y96" s="93"/>
      <c r="Z96" s="156"/>
      <c r="AA96" s="118"/>
      <c r="AB96" s="118"/>
      <c r="AC96" s="118"/>
      <c r="AD96" s="705"/>
      <c r="AE96" s="704"/>
      <c r="AF96" s="704"/>
      <c r="AG96" s="704"/>
      <c r="AH96" s="704"/>
      <c r="AI96" s="704"/>
      <c r="AJ96" s="704"/>
      <c r="AK96" s="704"/>
      <c r="AL96" s="704"/>
      <c r="AO96" s="1"/>
    </row>
    <row r="97" spans="2:41" s="4" customFormat="1" ht="18" customHeight="1">
      <c r="B97" s="57"/>
      <c r="C97" s="679"/>
      <c r="D97" s="680"/>
      <c r="E97" s="658"/>
      <c r="F97" s="656"/>
      <c r="G97" s="656"/>
      <c r="H97" s="878"/>
      <c r="I97" s="802"/>
      <c r="J97" s="133">
        <f t="shared" si="9"/>
        <v>0</v>
      </c>
      <c r="K97" s="807">
        <f t="shared" si="10"/>
        <v>0</v>
      </c>
      <c r="L97" s="807">
        <f t="shared" si="11"/>
        <v>0</v>
      </c>
      <c r="M97" s="133">
        <f t="shared" si="12"/>
        <v>0</v>
      </c>
      <c r="N97" s="807">
        <f t="shared" si="13"/>
        <v>0</v>
      </c>
      <c r="O97" s="807">
        <f t="shared" si="14"/>
        <v>0</v>
      </c>
      <c r="P97" s="58"/>
      <c r="Q97" s="65"/>
      <c r="R97" s="65"/>
      <c r="S97" s="65"/>
      <c r="T97" s="65"/>
      <c r="U97" s="65"/>
      <c r="V97" s="58"/>
      <c r="W97" s="89"/>
      <c r="X97" s="129" t="s">
        <v>547</v>
      </c>
      <c r="Y97" s="93"/>
      <c r="Z97" s="156"/>
      <c r="AA97" s="118"/>
      <c r="AB97" s="118"/>
      <c r="AC97" s="118"/>
      <c r="AD97" s="58"/>
      <c r="AE97" s="702"/>
      <c r="AF97" s="710"/>
      <c r="AG97" s="710"/>
      <c r="AH97" s="710"/>
      <c r="AI97" s="704"/>
      <c r="AJ97" s="704"/>
      <c r="AK97" s="704"/>
      <c r="AL97" s="704"/>
      <c r="AO97" s="1"/>
    </row>
    <row r="98" spans="2:41" s="4" customFormat="1" ht="18" customHeight="1">
      <c r="B98" s="57"/>
      <c r="C98" s="679"/>
      <c r="D98" s="680"/>
      <c r="E98" s="658"/>
      <c r="F98" s="656"/>
      <c r="G98" s="656"/>
      <c r="H98" s="878"/>
      <c r="I98" s="802"/>
      <c r="J98" s="133">
        <f t="shared" si="9"/>
        <v>0</v>
      </c>
      <c r="K98" s="807">
        <f t="shared" si="10"/>
        <v>0</v>
      </c>
      <c r="L98" s="807">
        <f t="shared" si="11"/>
        <v>0</v>
      </c>
      <c r="M98" s="133">
        <f t="shared" si="12"/>
        <v>0</v>
      </c>
      <c r="N98" s="807">
        <f t="shared" si="13"/>
        <v>0</v>
      </c>
      <c r="O98" s="807">
        <f t="shared" si="14"/>
        <v>0</v>
      </c>
      <c r="P98" s="58"/>
      <c r="Q98" s="65"/>
      <c r="R98" s="65"/>
      <c r="S98" s="65"/>
      <c r="T98" s="65"/>
      <c r="U98" s="65"/>
      <c r="V98" s="58"/>
      <c r="W98" s="89"/>
      <c r="X98" s="224"/>
      <c r="Y98" s="224"/>
      <c r="Z98" s="921"/>
      <c r="AA98" s="921"/>
      <c r="AB98" s="961"/>
      <c r="AC98" s="224"/>
      <c r="AD98" s="58"/>
      <c r="AE98" s="702"/>
      <c r="AF98" s="703"/>
      <c r="AG98" s="704"/>
      <c r="AH98" s="704"/>
      <c r="AI98" s="704"/>
      <c r="AJ98" s="704"/>
      <c r="AK98" s="704"/>
      <c r="AL98" s="704"/>
      <c r="AO98" s="1"/>
    </row>
    <row r="99" spans="2:41" s="4" customFormat="1" ht="18" customHeight="1">
      <c r="B99" s="57"/>
      <c r="C99" s="679"/>
      <c r="D99" s="680"/>
      <c r="E99" s="658"/>
      <c r="F99" s="656"/>
      <c r="G99" s="656"/>
      <c r="H99" s="878"/>
      <c r="I99" s="802"/>
      <c r="J99" s="133">
        <f t="shared" si="9"/>
        <v>0</v>
      </c>
      <c r="K99" s="807">
        <f t="shared" si="10"/>
        <v>0</v>
      </c>
      <c r="L99" s="807">
        <f t="shared" si="11"/>
        <v>0</v>
      </c>
      <c r="M99" s="133">
        <f t="shared" si="12"/>
        <v>0</v>
      </c>
      <c r="N99" s="807">
        <f t="shared" si="13"/>
        <v>0</v>
      </c>
      <c r="O99" s="807">
        <f t="shared" si="14"/>
        <v>0</v>
      </c>
      <c r="P99" s="58"/>
      <c r="Q99" s="65"/>
      <c r="R99" s="65"/>
      <c r="S99" s="65"/>
      <c r="T99" s="65"/>
      <c r="U99" s="65"/>
      <c r="V99" s="58"/>
      <c r="W99" s="89"/>
      <c r="X99" s="741" t="s">
        <v>13</v>
      </c>
      <c r="Y99" s="899" t="s">
        <v>665</v>
      </c>
      <c r="Z99" s="948"/>
      <c r="AA99" s="948"/>
      <c r="AB99" s="948"/>
      <c r="AC99" s="949"/>
      <c r="AD99" s="58"/>
      <c r="AE99" s="703"/>
      <c r="AF99" s="703"/>
      <c r="AG99" s="704"/>
      <c r="AH99" s="704"/>
      <c r="AI99" s="704"/>
      <c r="AJ99" s="704"/>
      <c r="AK99" s="704"/>
      <c r="AL99" s="704"/>
      <c r="AO99" s="1"/>
    </row>
    <row r="100" spans="2:41" s="4" customFormat="1" ht="18" customHeight="1">
      <c r="B100" s="57"/>
      <c r="C100" s="679"/>
      <c r="D100" s="680"/>
      <c r="E100" s="658"/>
      <c r="F100" s="656"/>
      <c r="G100" s="656"/>
      <c r="H100" s="878"/>
      <c r="I100" s="802"/>
      <c r="J100" s="133">
        <f t="shared" si="9"/>
        <v>0</v>
      </c>
      <c r="K100" s="807">
        <f t="shared" si="10"/>
        <v>0</v>
      </c>
      <c r="L100" s="807">
        <f t="shared" si="11"/>
        <v>0</v>
      </c>
      <c r="M100" s="133">
        <f t="shared" si="12"/>
        <v>0</v>
      </c>
      <c r="N100" s="807">
        <f t="shared" si="13"/>
        <v>0</v>
      </c>
      <c r="O100" s="807">
        <f t="shared" si="14"/>
        <v>0</v>
      </c>
      <c r="P100" s="58"/>
      <c r="Q100" s="65"/>
      <c r="R100" s="65"/>
      <c r="S100" s="65"/>
      <c r="T100" s="65"/>
      <c r="U100" s="65"/>
      <c r="V100" s="58"/>
      <c r="W100" s="89"/>
      <c r="X100" s="224"/>
      <c r="Y100" s="949"/>
      <c r="Z100" s="949"/>
      <c r="AA100" s="949"/>
      <c r="AB100" s="949"/>
      <c r="AC100" s="949"/>
      <c r="AD100" s="58"/>
      <c r="AE100" s="703"/>
      <c r="AF100" s="710"/>
      <c r="AG100" s="710"/>
      <c r="AH100" s="704"/>
      <c r="AI100" s="704"/>
      <c r="AJ100" s="704"/>
      <c r="AK100" s="704"/>
      <c r="AL100" s="704"/>
      <c r="AO100" s="1"/>
    </row>
    <row r="101" spans="2:41" s="4" customFormat="1" ht="18" customHeight="1">
      <c r="B101" s="57"/>
      <c r="C101" s="679"/>
      <c r="D101" s="682"/>
      <c r="E101" s="659"/>
      <c r="F101" s="656"/>
      <c r="G101" s="656"/>
      <c r="H101" s="878"/>
      <c r="I101" s="802"/>
      <c r="J101" s="133">
        <f t="shared" si="9"/>
        <v>0</v>
      </c>
      <c r="K101" s="807">
        <f t="shared" si="10"/>
        <v>0</v>
      </c>
      <c r="L101" s="807">
        <f t="shared" si="11"/>
        <v>0</v>
      </c>
      <c r="M101" s="133">
        <f t="shared" si="12"/>
        <v>0</v>
      </c>
      <c r="N101" s="807">
        <f t="shared" si="13"/>
        <v>0</v>
      </c>
      <c r="O101" s="807">
        <f t="shared" si="14"/>
        <v>0</v>
      </c>
      <c r="P101" s="58"/>
      <c r="Q101" s="65"/>
      <c r="R101" s="65"/>
      <c r="S101" s="65"/>
      <c r="T101" s="65"/>
      <c r="U101" s="65"/>
      <c r="V101" s="58"/>
      <c r="W101" s="89"/>
      <c r="X101" s="93"/>
      <c r="Y101" s="949"/>
      <c r="Z101" s="949"/>
      <c r="AA101" s="949"/>
      <c r="AB101" s="949"/>
      <c r="AC101" s="949"/>
      <c r="AD101" s="58"/>
      <c r="AE101" s="702"/>
      <c r="AF101" s="710"/>
      <c r="AG101" s="710"/>
      <c r="AH101" s="710"/>
      <c r="AI101" s="704"/>
      <c r="AJ101" s="704"/>
      <c r="AK101" s="704"/>
      <c r="AL101" s="704"/>
      <c r="AO101" s="1"/>
    </row>
    <row r="102" spans="2:41" s="4" customFormat="1" ht="18" customHeight="1">
      <c r="B102" s="57"/>
      <c r="C102" s="679"/>
      <c r="D102" s="680"/>
      <c r="E102" s="658"/>
      <c r="F102" s="656"/>
      <c r="G102" s="656"/>
      <c r="H102" s="878"/>
      <c r="I102" s="802"/>
      <c r="J102" s="133">
        <f t="shared" si="9"/>
        <v>0</v>
      </c>
      <c r="K102" s="807">
        <f t="shared" si="10"/>
        <v>0</v>
      </c>
      <c r="L102" s="807">
        <f t="shared" si="11"/>
        <v>0</v>
      </c>
      <c r="M102" s="133">
        <f t="shared" si="12"/>
        <v>0</v>
      </c>
      <c r="N102" s="807">
        <f t="shared" si="13"/>
        <v>0</v>
      </c>
      <c r="O102" s="807">
        <f t="shared" si="14"/>
        <v>0</v>
      </c>
      <c r="P102" s="58"/>
      <c r="Q102" s="65"/>
      <c r="R102" s="65"/>
      <c r="S102" s="65"/>
      <c r="T102" s="65"/>
      <c r="U102" s="65"/>
      <c r="V102" s="58"/>
      <c r="W102" s="89"/>
      <c r="X102" s="93"/>
      <c r="Y102" s="949"/>
      <c r="Z102" s="949"/>
      <c r="AA102" s="949"/>
      <c r="AB102" s="949"/>
      <c r="AC102" s="949"/>
      <c r="AD102" s="742"/>
      <c r="AE102" s="710"/>
      <c r="AF102" s="710"/>
      <c r="AG102" s="710"/>
      <c r="AH102" s="710"/>
      <c r="AI102" s="704"/>
      <c r="AJ102" s="704"/>
      <c r="AK102" s="704"/>
      <c r="AL102" s="704"/>
      <c r="AO102" s="1"/>
    </row>
    <row r="103" spans="2:41" s="4" customFormat="1" ht="18" customHeight="1">
      <c r="B103" s="78"/>
      <c r="C103" s="79"/>
      <c r="D103" s="154"/>
      <c r="E103" s="154"/>
      <c r="F103" s="154"/>
      <c r="G103" s="154"/>
      <c r="H103" s="79"/>
      <c r="I103" s="79"/>
      <c r="J103" s="943" t="s">
        <v>38</v>
      </c>
      <c r="K103" s="944"/>
      <c r="L103" s="943"/>
      <c r="M103" s="943" t="s">
        <v>39</v>
      </c>
      <c r="N103" s="944"/>
      <c r="O103" s="943"/>
      <c r="P103" s="58"/>
      <c r="Q103" s="65"/>
      <c r="R103" s="65"/>
      <c r="S103" s="65"/>
      <c r="T103" s="65"/>
      <c r="U103" s="65"/>
      <c r="V103" s="58"/>
      <c r="W103" s="89"/>
      <c r="X103" s="93"/>
      <c r="Y103" s="921" t="s">
        <v>496</v>
      </c>
      <c r="Z103" s="922"/>
      <c r="AA103" s="922"/>
      <c r="AB103" s="922"/>
      <c r="AC103" s="881"/>
      <c r="AD103" s="743"/>
      <c r="AE103" s="703"/>
      <c r="AF103" s="703"/>
      <c r="AG103" s="704"/>
      <c r="AH103" s="704"/>
      <c r="AI103" s="704"/>
      <c r="AJ103" s="704"/>
      <c r="AK103" s="704"/>
      <c r="AL103" s="704"/>
      <c r="AO103" s="1"/>
    </row>
    <row r="104" spans="2:41" s="4" customFormat="1" ht="18" customHeight="1">
      <c r="B104" s="78"/>
      <c r="C104" s="224"/>
      <c r="D104" s="224"/>
      <c r="E104" s="224"/>
      <c r="F104" s="224"/>
      <c r="G104" s="224"/>
      <c r="H104" s="224"/>
      <c r="I104" s="224"/>
      <c r="J104" s="735" t="s">
        <v>40</v>
      </c>
      <c r="K104" s="735" t="s">
        <v>41</v>
      </c>
      <c r="L104" s="735" t="s">
        <v>42</v>
      </c>
      <c r="M104" s="735" t="s">
        <v>40</v>
      </c>
      <c r="N104" s="735" t="s">
        <v>41</v>
      </c>
      <c r="O104" s="735" t="s">
        <v>42</v>
      </c>
      <c r="P104" s="58"/>
      <c r="Q104" s="65"/>
      <c r="R104" s="65"/>
      <c r="S104" s="65"/>
      <c r="T104" s="65"/>
      <c r="U104" s="65"/>
      <c r="V104" s="58"/>
      <c r="W104" s="89"/>
      <c r="X104" s="93"/>
      <c r="Y104" s="881"/>
      <c r="Z104" s="881"/>
      <c r="AA104" s="881"/>
      <c r="AB104" s="881"/>
      <c r="AC104" s="881"/>
      <c r="AD104" s="744"/>
      <c r="AE104" s="703"/>
      <c r="AF104" s="703"/>
      <c r="AG104" s="704"/>
      <c r="AH104" s="704"/>
      <c r="AI104" s="704"/>
      <c r="AJ104" s="704"/>
      <c r="AK104" s="704"/>
      <c r="AL104" s="704"/>
      <c r="AO104" s="1"/>
    </row>
    <row r="105" spans="2:41" s="4" customFormat="1" ht="23.25" customHeight="1">
      <c r="B105" s="57"/>
      <c r="C105" s="224"/>
      <c r="D105" s="809"/>
      <c r="E105" s="809"/>
      <c r="F105" s="809"/>
      <c r="G105" s="959" t="s">
        <v>43</v>
      </c>
      <c r="H105" s="960"/>
      <c r="I105" s="960"/>
      <c r="J105" s="808">
        <f aca="true" t="shared" si="15" ref="J105:O105">SUM(J89:J102)</f>
        <v>0</v>
      </c>
      <c r="K105" s="140">
        <f t="shared" si="15"/>
        <v>0</v>
      </c>
      <c r="L105" s="140">
        <f t="shared" si="15"/>
        <v>0</v>
      </c>
      <c r="M105" s="808">
        <f t="shared" si="15"/>
        <v>0</v>
      </c>
      <c r="N105" s="140">
        <f t="shared" si="15"/>
        <v>0</v>
      </c>
      <c r="O105" s="140">
        <f t="shared" si="15"/>
        <v>0</v>
      </c>
      <c r="P105" s="58"/>
      <c r="Q105" s="65"/>
      <c r="R105" s="65"/>
      <c r="S105" s="65"/>
      <c r="T105" s="65"/>
      <c r="U105" s="65"/>
      <c r="V105" s="58"/>
      <c r="W105" s="89"/>
      <c r="X105" s="93"/>
      <c r="Y105" s="881"/>
      <c r="Z105" s="881"/>
      <c r="AA105" s="881"/>
      <c r="AB105" s="881"/>
      <c r="AC105" s="881"/>
      <c r="AD105" s="705"/>
      <c r="AE105" s="704"/>
      <c r="AF105" s="704"/>
      <c r="AG105" s="704"/>
      <c r="AH105" s="704"/>
      <c r="AI105" s="704"/>
      <c r="AJ105" s="704"/>
      <c r="AK105" s="704"/>
      <c r="AL105" s="704"/>
      <c r="AO105" s="1"/>
    </row>
    <row r="106" spans="2:41" s="4" customFormat="1" ht="18" customHeight="1" thickBot="1">
      <c r="B106" s="57"/>
      <c r="C106" s="65"/>
      <c r="D106" s="190"/>
      <c r="E106" s="190"/>
      <c r="F106" s="190"/>
      <c r="G106" s="190"/>
      <c r="H106" s="65"/>
      <c r="I106" s="65"/>
      <c r="J106" s="65"/>
      <c r="K106" s="65"/>
      <c r="L106" s="65"/>
      <c r="M106" s="65"/>
      <c r="N106" s="452"/>
      <c r="O106" s="65"/>
      <c r="P106" s="58"/>
      <c r="Q106" s="81"/>
      <c r="R106" s="81"/>
      <c r="S106" s="81"/>
      <c r="T106" s="81"/>
      <c r="U106" s="81"/>
      <c r="V106" s="77"/>
      <c r="W106" s="90"/>
      <c r="X106" s="601"/>
      <c r="Y106" s="601"/>
      <c r="Z106" s="601"/>
      <c r="AA106" s="601"/>
      <c r="AB106" s="601"/>
      <c r="AC106" s="601"/>
      <c r="AD106" s="706"/>
      <c r="AE106" s="708"/>
      <c r="AF106" s="708"/>
      <c r="AG106" s="708"/>
      <c r="AH106" s="708"/>
      <c r="AI106" s="708"/>
      <c r="AJ106" s="708"/>
      <c r="AK106" s="708"/>
      <c r="AL106" s="708"/>
      <c r="AM106" s="1"/>
      <c r="AN106" s="1"/>
      <c r="AO106" s="1"/>
    </row>
    <row r="107" spans="2:19" s="4" customFormat="1" ht="18" customHeight="1" thickBot="1" thickTop="1">
      <c r="B107" s="80"/>
      <c r="C107" s="81"/>
      <c r="D107" s="155"/>
      <c r="E107" s="155"/>
      <c r="F107" s="155"/>
      <c r="G107" s="155"/>
      <c r="H107" s="81"/>
      <c r="I107" s="81"/>
      <c r="J107" s="81"/>
      <c r="K107" s="81"/>
      <c r="L107" s="81"/>
      <c r="M107" s="81"/>
      <c r="N107" s="455"/>
      <c r="O107" s="81"/>
      <c r="P107" s="77"/>
      <c r="Q107" s="147"/>
      <c r="R107" s="147"/>
      <c r="S107" s="147"/>
    </row>
    <row r="108" spans="2:16" ht="15" customHeight="1" thickTop="1">
      <c r="B108" s="4"/>
      <c r="C108" s="4"/>
      <c r="D108" s="4"/>
      <c r="E108" s="4"/>
      <c r="F108" s="4"/>
      <c r="G108" s="4"/>
      <c r="H108" s="4"/>
      <c r="I108" s="4"/>
      <c r="J108" s="4"/>
      <c r="K108" s="4"/>
      <c r="L108" s="4"/>
      <c r="M108" s="4"/>
      <c r="N108" s="4"/>
      <c r="O108" s="4"/>
      <c r="P108" s="4"/>
    </row>
    <row r="109" spans="9:13" ht="12.75" thickBot="1">
      <c r="I109" s="403"/>
      <c r="J109" s="402"/>
      <c r="K109" s="402"/>
      <c r="L109" s="806"/>
      <c r="M109" s="806"/>
    </row>
    <row r="110" spans="2:14" ht="16.5" thickTop="1">
      <c r="B110" s="442"/>
      <c r="C110" s="443"/>
      <c r="D110" s="444"/>
      <c r="E110" s="443"/>
      <c r="F110" s="443"/>
      <c r="G110" s="443"/>
      <c r="H110" s="443"/>
      <c r="I110" s="950" t="s">
        <v>38</v>
      </c>
      <c r="J110" s="951"/>
      <c r="K110" s="943"/>
      <c r="L110" s="952" t="s">
        <v>39</v>
      </c>
      <c r="M110" s="953"/>
      <c r="N110" s="954"/>
    </row>
    <row r="111" spans="2:14" ht="14.25">
      <c r="B111" s="419"/>
      <c r="C111" s="328"/>
      <c r="D111" s="810"/>
      <c r="E111" s="328"/>
      <c r="F111" s="328"/>
      <c r="G111" s="328"/>
      <c r="H111" s="328"/>
      <c r="I111" s="735" t="s">
        <v>40</v>
      </c>
      <c r="J111" s="735" t="s">
        <v>41</v>
      </c>
      <c r="K111" s="735" t="s">
        <v>42</v>
      </c>
      <c r="L111" s="735" t="s">
        <v>40</v>
      </c>
      <c r="M111" s="735" t="s">
        <v>41</v>
      </c>
      <c r="N111" s="813" t="s">
        <v>42</v>
      </c>
    </row>
    <row r="112" spans="2:14" ht="15" customHeight="1">
      <c r="B112" s="419"/>
      <c r="C112" s="328"/>
      <c r="D112" s="421"/>
      <c r="E112" s="389"/>
      <c r="F112" s="389"/>
      <c r="G112" s="389"/>
      <c r="H112" s="506" t="s">
        <v>44</v>
      </c>
      <c r="I112" s="815">
        <f>SUM(N74,J105)</f>
        <v>0</v>
      </c>
      <c r="J112" s="140">
        <f>K105</f>
        <v>0</v>
      </c>
      <c r="K112" s="140">
        <f>L105</f>
        <v>0</v>
      </c>
      <c r="L112" s="808">
        <f>SUM(O74,M105)</f>
        <v>0</v>
      </c>
      <c r="M112" s="140">
        <f>N105</f>
        <v>0</v>
      </c>
      <c r="N112" s="814">
        <f>O105</f>
        <v>0</v>
      </c>
    </row>
    <row r="113" spans="2:14" ht="15" customHeight="1" thickBot="1">
      <c r="B113" s="422"/>
      <c r="C113" s="811"/>
      <c r="D113" s="423"/>
      <c r="E113" s="424"/>
      <c r="F113" s="424"/>
      <c r="G113" s="424"/>
      <c r="H113" s="812" t="s">
        <v>188</v>
      </c>
      <c r="I113" s="423"/>
      <c r="J113" s="424"/>
      <c r="K113" s="424"/>
      <c r="L113" s="424"/>
      <c r="M113" s="424"/>
      <c r="N113" s="445"/>
    </row>
    <row r="114" ht="15" customHeight="1" thickTop="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sheetData>
  <sheetProtection password="CD08" sheet="1" objects="1" scenarios="1"/>
  <mergeCells count="23">
    <mergeCell ref="I110:K110"/>
    <mergeCell ref="L110:N110"/>
    <mergeCell ref="W51:Z53"/>
    <mergeCell ref="E82:F82"/>
    <mergeCell ref="G105:I105"/>
    <mergeCell ref="Z98:AB98"/>
    <mergeCell ref="Y103:AC105"/>
    <mergeCell ref="G86:I86"/>
    <mergeCell ref="M82:O82"/>
    <mergeCell ref="J82:L82"/>
    <mergeCell ref="G82:I82"/>
    <mergeCell ref="J103:L103"/>
    <mergeCell ref="M103:O103"/>
    <mergeCell ref="G21:H21"/>
    <mergeCell ref="W26:AB27"/>
    <mergeCell ref="Y99:AC102"/>
    <mergeCell ref="C4:K4"/>
    <mergeCell ref="B9:C9"/>
    <mergeCell ref="C6:L6"/>
    <mergeCell ref="E20:E23"/>
    <mergeCell ref="B10:C10"/>
    <mergeCell ref="B11:C11"/>
    <mergeCell ref="B12:C12"/>
  </mergeCells>
  <printOptions horizontalCentered="1" verticalCentered="1"/>
  <pageMargins left="0.75" right="0.75" top="0.75" bottom="1" header="0.5" footer="0.5"/>
  <pageSetup fitToHeight="1" fitToWidth="1" horizontalDpi="600" verticalDpi="600" orientation="landscape" scale="39" r:id="rId1"/>
  <headerFooter alignWithMargins="0">
    <oddHeader>&amp;L&amp;D&amp;R&amp;F</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F356"/>
  <sheetViews>
    <sheetView zoomScale="75" zoomScaleNormal="75" zoomScalePageLayoutView="0" workbookViewId="0" topLeftCell="A1">
      <selection activeCell="A1" sqref="A1"/>
    </sheetView>
  </sheetViews>
  <sheetFormatPr defaultColWidth="9.7109375" defaultRowHeight="12.75"/>
  <cols>
    <col min="1" max="1" width="9.140625" style="4" customWidth="1"/>
    <col min="2" max="2" width="3.8515625" style="4" customWidth="1"/>
    <col min="3" max="3" width="31.57421875" style="4" customWidth="1"/>
    <col min="4" max="4" width="24.140625" style="4" customWidth="1"/>
    <col min="5" max="5" width="17.8515625" style="147" customWidth="1"/>
    <col min="6" max="6" width="24.00390625" style="147" customWidth="1"/>
    <col min="7" max="7" width="19.421875" style="147" customWidth="1"/>
    <col min="8" max="8" width="16.421875" style="4" customWidth="1"/>
    <col min="9" max="9" width="15.57421875" style="4" customWidth="1"/>
    <col min="10" max="10" width="18.7109375" style="4" customWidth="1"/>
    <col min="11" max="11" width="17.140625" style="4" customWidth="1"/>
    <col min="12" max="12" width="16.140625" style="4" customWidth="1"/>
    <col min="13" max="13" width="15.57421875" style="4" customWidth="1"/>
    <col min="14" max="15" width="16.421875" style="4" customWidth="1"/>
    <col min="16" max="16" width="15.00390625" style="4" customWidth="1"/>
    <col min="17" max="17" width="16.00390625" style="4" customWidth="1"/>
    <col min="18" max="18" width="19.140625" style="4" customWidth="1"/>
    <col min="19" max="19" width="17.57421875" style="4" customWidth="1"/>
    <col min="20" max="20" width="15.8515625" style="4" customWidth="1"/>
    <col min="21" max="21" width="16.8515625" style="4" customWidth="1"/>
    <col min="22" max="22" width="16.28125" style="4" customWidth="1"/>
    <col min="23" max="57" width="14.28125" style="4" customWidth="1"/>
    <col min="58" max="16384" width="9.7109375" style="4" customWidth="1"/>
  </cols>
  <sheetData>
    <row r="1" spans="3:4" ht="42" customHeight="1">
      <c r="C1" s="475" t="s">
        <v>516</v>
      </c>
      <c r="D1" s="38"/>
    </row>
    <row r="2" spans="3:4" ht="24" customHeight="1">
      <c r="C2" s="38" t="s">
        <v>517</v>
      </c>
      <c r="D2" s="38"/>
    </row>
    <row r="3" spans="1:3" ht="18" customHeight="1">
      <c r="A3" s="38"/>
      <c r="C3" s="4" t="s">
        <v>228</v>
      </c>
    </row>
    <row r="5" spans="2:10" ht="36.75" customHeight="1">
      <c r="B5" s="933" t="s">
        <v>229</v>
      </c>
      <c r="C5" s="934"/>
      <c r="D5" s="934"/>
      <c r="E5" s="934"/>
      <c r="F5" s="934"/>
      <c r="G5" s="934"/>
      <c r="H5" s="935"/>
      <c r="I5" s="935"/>
      <c r="J5" s="936"/>
    </row>
    <row r="7" ht="18" customHeight="1" thickBot="1">
      <c r="A7" s="38"/>
    </row>
    <row r="8" spans="1:5" ht="18" customHeight="1" thickTop="1">
      <c r="A8" s="38"/>
      <c r="B8" s="467" t="s">
        <v>177</v>
      </c>
      <c r="C8" s="458"/>
      <c r="D8" s="462"/>
      <c r="E8" s="464"/>
    </row>
    <row r="9" spans="1:5" ht="18" customHeight="1">
      <c r="A9" s="38"/>
      <c r="B9" s="927" t="s">
        <v>513</v>
      </c>
      <c r="C9" s="928"/>
      <c r="D9" s="159"/>
      <c r="E9" s="465"/>
    </row>
    <row r="10" spans="1:5" ht="18" customHeight="1">
      <c r="A10" s="38"/>
      <c r="B10" s="927" t="s">
        <v>254</v>
      </c>
      <c r="C10" s="928"/>
      <c r="D10" s="160"/>
      <c r="E10" s="465"/>
    </row>
    <row r="11" spans="1:5" ht="18" customHeight="1">
      <c r="A11" s="38"/>
      <c r="B11" s="927" t="s">
        <v>255</v>
      </c>
      <c r="C11" s="928"/>
      <c r="D11" s="162"/>
      <c r="E11" s="465"/>
    </row>
    <row r="12" spans="2:19" ht="18" customHeight="1" thickBot="1">
      <c r="B12" s="468"/>
      <c r="C12" s="436"/>
      <c r="D12" s="436"/>
      <c r="E12" s="470"/>
      <c r="F12" s="158"/>
      <c r="G12" s="166"/>
      <c r="H12" s="1"/>
      <c r="I12" s="1"/>
      <c r="J12" s="1"/>
      <c r="K12" s="1"/>
      <c r="L12" s="1"/>
      <c r="M12" s="1"/>
      <c r="N12" s="1"/>
      <c r="O12" s="1"/>
      <c r="P12" s="1"/>
      <c r="Q12" s="1"/>
      <c r="R12" s="1"/>
      <c r="S12" s="1"/>
    </row>
    <row r="13" spans="2:19" ht="18" customHeight="1" thickTop="1">
      <c r="B13" s="19"/>
      <c r="C13" s="19"/>
      <c r="D13" s="19"/>
      <c r="E13" s="148"/>
      <c r="F13" s="158"/>
      <c r="G13" s="166"/>
      <c r="H13" s="1"/>
      <c r="I13" s="1"/>
      <c r="J13" s="1"/>
      <c r="K13" s="1"/>
      <c r="L13" s="1"/>
      <c r="M13" s="1"/>
      <c r="N13" s="1"/>
      <c r="O13" s="1"/>
      <c r="P13" s="1"/>
      <c r="Q13" s="1"/>
      <c r="R13" s="1"/>
      <c r="S13" s="1"/>
    </row>
    <row r="14" spans="2:19" ht="27" customHeight="1" thickBot="1">
      <c r="B14" s="19"/>
      <c r="C14" s="798" t="s">
        <v>487</v>
      </c>
      <c r="D14" s="19"/>
      <c r="E14" s="148"/>
      <c r="F14" s="158"/>
      <c r="G14" s="166"/>
      <c r="H14" s="1"/>
      <c r="I14" s="1"/>
      <c r="J14" s="1"/>
      <c r="K14" s="1"/>
      <c r="L14" s="1"/>
      <c r="M14" s="1"/>
      <c r="N14" s="1"/>
      <c r="O14" s="1"/>
      <c r="P14" s="1"/>
      <c r="Q14" s="1"/>
      <c r="R14" s="1"/>
      <c r="S14" s="1"/>
    </row>
    <row r="15" spans="2:19" ht="57" customHeight="1" thickBot="1" thickTop="1">
      <c r="B15" s="239"/>
      <c r="C15" s="972" t="s">
        <v>518</v>
      </c>
      <c r="D15" s="973"/>
      <c r="E15" s="973"/>
      <c r="F15" s="973"/>
      <c r="G15" s="973"/>
      <c r="H15" s="240"/>
      <c r="I15" s="240"/>
      <c r="J15" s="240"/>
      <c r="K15" s="240"/>
      <c r="L15" s="240"/>
      <c r="M15" s="240"/>
      <c r="N15" s="240"/>
      <c r="O15" s="241"/>
      <c r="P15" s="1"/>
      <c r="Q15" s="1"/>
      <c r="R15" s="1"/>
      <c r="S15" s="1"/>
    </row>
    <row r="16" spans="2:19" ht="57" customHeight="1" thickTop="1">
      <c r="B16" s="57"/>
      <c r="C16" s="976" t="s">
        <v>698</v>
      </c>
      <c r="D16" s="975"/>
      <c r="E16" s="975"/>
      <c r="F16" s="975"/>
      <c r="G16" s="975"/>
      <c r="H16" s="975"/>
      <c r="I16" s="975"/>
      <c r="J16" s="65"/>
      <c r="K16" s="65"/>
      <c r="L16" s="65"/>
      <c r="M16" s="55"/>
      <c r="N16" s="65"/>
      <c r="O16" s="65"/>
      <c r="P16" s="466"/>
      <c r="Q16" s="1"/>
      <c r="R16" s="1"/>
      <c r="S16" s="1"/>
    </row>
    <row r="17" spans="2:20" ht="18" customHeight="1">
      <c r="B17" s="57"/>
      <c r="C17" s="98"/>
      <c r="D17" s="190"/>
      <c r="E17" s="190"/>
      <c r="F17" s="190"/>
      <c r="G17" s="190"/>
      <c r="H17" s="65"/>
      <c r="I17" s="65"/>
      <c r="J17" s="65"/>
      <c r="K17" s="65"/>
      <c r="L17" s="65"/>
      <c r="M17" s="65"/>
      <c r="N17" s="65"/>
      <c r="O17" s="58"/>
      <c r="P17" s="1"/>
      <c r="Q17" s="1"/>
      <c r="R17" s="1"/>
      <c r="S17" s="1"/>
      <c r="T17" s="1"/>
    </row>
    <row r="18" spans="2:20" ht="18" customHeight="1">
      <c r="B18" s="57"/>
      <c r="C18" s="98"/>
      <c r="D18" s="190"/>
      <c r="E18" s="963" t="s">
        <v>353</v>
      </c>
      <c r="F18" s="941"/>
      <c r="G18" s="941"/>
      <c r="H18" s="941"/>
      <c r="I18" s="941"/>
      <c r="J18" s="941"/>
      <c r="K18" s="941"/>
      <c r="L18" s="941"/>
      <c r="M18" s="941"/>
      <c r="N18" s="942"/>
      <c r="O18" s="58"/>
      <c r="P18" s="1"/>
      <c r="Q18" s="1"/>
      <c r="R18" s="1"/>
      <c r="S18" s="1"/>
      <c r="T18" s="1"/>
    </row>
    <row r="19" spans="2:20" ht="18" customHeight="1">
      <c r="B19" s="57"/>
      <c r="C19" s="65"/>
      <c r="D19" s="637"/>
      <c r="E19" s="46" t="s">
        <v>282</v>
      </c>
      <c r="F19" s="163" t="s">
        <v>283</v>
      </c>
      <c r="G19" s="3" t="s">
        <v>257</v>
      </c>
      <c r="H19" s="3" t="s">
        <v>263</v>
      </c>
      <c r="I19" s="127" t="s">
        <v>258</v>
      </c>
      <c r="J19" s="127" t="s">
        <v>259</v>
      </c>
      <c r="K19" s="3" t="s">
        <v>262</v>
      </c>
      <c r="L19" s="128" t="s">
        <v>271</v>
      </c>
      <c r="M19" s="128" t="s">
        <v>284</v>
      </c>
      <c r="N19" s="128" t="s">
        <v>285</v>
      </c>
      <c r="O19" s="72"/>
      <c r="P19" s="1"/>
      <c r="Q19" s="1"/>
      <c r="R19" s="1"/>
      <c r="S19" s="1"/>
      <c r="T19" s="1"/>
    </row>
    <row r="20" spans="2:20" ht="81" customHeight="1">
      <c r="B20" s="67"/>
      <c r="C20" s="134"/>
      <c r="D20" s="638"/>
      <c r="E20" s="634" t="s">
        <v>280</v>
      </c>
      <c r="F20" s="164" t="s">
        <v>110</v>
      </c>
      <c r="G20" s="5" t="s">
        <v>508</v>
      </c>
      <c r="H20" s="5" t="s">
        <v>510</v>
      </c>
      <c r="I20" s="5" t="s">
        <v>509</v>
      </c>
      <c r="J20" s="5" t="s">
        <v>527</v>
      </c>
      <c r="K20" s="164" t="s">
        <v>111</v>
      </c>
      <c r="L20" s="8" t="s">
        <v>511</v>
      </c>
      <c r="M20" s="636" t="s">
        <v>90</v>
      </c>
      <c r="N20" s="636" t="s">
        <v>92</v>
      </c>
      <c r="O20" s="73"/>
      <c r="P20" s="1"/>
      <c r="Q20" s="1"/>
      <c r="R20" s="1"/>
      <c r="S20" s="1"/>
      <c r="T20" s="1"/>
    </row>
    <row r="21" spans="2:20" ht="57" customHeight="1">
      <c r="B21" s="57"/>
      <c r="C21" s="65"/>
      <c r="D21" s="637"/>
      <c r="E21" s="635"/>
      <c r="F21" s="165"/>
      <c r="G21" s="6"/>
      <c r="H21" s="6"/>
      <c r="I21" s="8"/>
      <c r="J21" s="8"/>
      <c r="K21" s="8" t="s">
        <v>117</v>
      </c>
      <c r="L21" s="135" t="s">
        <v>112</v>
      </c>
      <c r="M21" s="135" t="s">
        <v>97</v>
      </c>
      <c r="N21" s="135" t="s">
        <v>98</v>
      </c>
      <c r="O21" s="73"/>
      <c r="P21" s="1"/>
      <c r="Q21" s="1"/>
      <c r="R21" s="1"/>
      <c r="S21" s="1"/>
      <c r="T21" s="1"/>
    </row>
    <row r="22" spans="2:20" ht="18" customHeight="1">
      <c r="B22" s="57"/>
      <c r="C22" s="65" t="s">
        <v>505</v>
      </c>
      <c r="D22" s="152" t="s">
        <v>506</v>
      </c>
      <c r="E22" s="640">
        <v>0.5</v>
      </c>
      <c r="F22" s="69">
        <v>29000000</v>
      </c>
      <c r="G22" s="69">
        <v>0.75</v>
      </c>
      <c r="H22" s="69">
        <v>0.9</v>
      </c>
      <c r="I22" s="191">
        <v>0.47</v>
      </c>
      <c r="J22" s="191">
        <v>0.1</v>
      </c>
      <c r="K22" s="84">
        <f>((F22/G22)*(1-G22)*I22*(1-J22))+(F22*I22*(1-H22))</f>
        <v>5452000</v>
      </c>
      <c r="L22" s="196">
        <f>K22*0.042/2205</f>
        <v>103.84761904761905</v>
      </c>
      <c r="M22" s="191">
        <f>E22*L22</f>
        <v>51.923809523809524</v>
      </c>
      <c r="N22" s="191">
        <f>(1-E22)*L22</f>
        <v>51.923809523809524</v>
      </c>
      <c r="O22" s="70"/>
      <c r="P22" s="1"/>
      <c r="Q22" s="1"/>
      <c r="R22" s="1"/>
      <c r="S22" s="1"/>
      <c r="T22" s="1"/>
    </row>
    <row r="23" spans="2:20" ht="18" customHeight="1">
      <c r="B23" s="82"/>
      <c r="C23" s="41" t="s">
        <v>504</v>
      </c>
      <c r="D23" s="153" t="s">
        <v>503</v>
      </c>
      <c r="E23" s="639"/>
      <c r="F23" s="12"/>
      <c r="G23" s="11"/>
      <c r="H23" s="36"/>
      <c r="I23" s="137"/>
      <c r="J23" s="137"/>
      <c r="K23" s="36"/>
      <c r="L23" s="12"/>
      <c r="M23" s="137"/>
      <c r="N23" s="12"/>
      <c r="O23" s="74"/>
      <c r="P23" s="1"/>
      <c r="Q23" s="1"/>
      <c r="R23" s="1"/>
      <c r="S23" s="1"/>
      <c r="T23" s="1"/>
    </row>
    <row r="24" spans="2:20" ht="18" customHeight="1">
      <c r="B24" s="57"/>
      <c r="C24" s="679"/>
      <c r="D24" s="680"/>
      <c r="E24" s="658"/>
      <c r="F24" s="656"/>
      <c r="G24" s="655"/>
      <c r="H24" s="655"/>
      <c r="I24" s="655"/>
      <c r="J24" s="655"/>
      <c r="K24" s="138">
        <f>IF(G24=0,0,((F24/G24)*(1-G24)*I24*(1-J24))+(F24*I24*(1-H24)))</f>
        <v>0</v>
      </c>
      <c r="L24" s="197">
        <f>K24*0.042/2205</f>
        <v>0</v>
      </c>
      <c r="M24" s="133">
        <f>E24*L24</f>
        <v>0</v>
      </c>
      <c r="N24" s="133">
        <f>(1-E24)*L24</f>
        <v>0</v>
      </c>
      <c r="O24" s="75"/>
      <c r="P24" s="1"/>
      <c r="Q24" s="1"/>
      <c r="R24" s="1"/>
      <c r="S24" s="1"/>
      <c r="T24" s="1"/>
    </row>
    <row r="25" spans="2:20" ht="18" customHeight="1">
      <c r="B25" s="57"/>
      <c r="C25" s="679"/>
      <c r="D25" s="680"/>
      <c r="E25" s="658"/>
      <c r="F25" s="656"/>
      <c r="G25" s="655"/>
      <c r="H25" s="655"/>
      <c r="I25" s="655"/>
      <c r="J25" s="655"/>
      <c r="K25" s="138">
        <f>IF(G25=0,0,((F25/G25)*(1-G25)*I25*(1-J25))+(F25*I25*(1-H25)))</f>
        <v>0</v>
      </c>
      <c r="L25" s="197">
        <f>K25*0.042/2205</f>
        <v>0</v>
      </c>
      <c r="M25" s="133">
        <f>E25*L25</f>
        <v>0</v>
      </c>
      <c r="N25" s="133">
        <f>(1-E25)*L25</f>
        <v>0</v>
      </c>
      <c r="O25" s="75"/>
      <c r="P25" s="1"/>
      <c r="Q25" s="1"/>
      <c r="R25" s="1"/>
      <c r="S25" s="1"/>
      <c r="T25" s="1"/>
    </row>
    <row r="26" spans="2:22" ht="18" customHeight="1">
      <c r="B26" s="57"/>
      <c r="C26" s="679"/>
      <c r="D26" s="680"/>
      <c r="E26" s="658"/>
      <c r="F26" s="656"/>
      <c r="G26" s="655"/>
      <c r="H26" s="655"/>
      <c r="I26" s="655"/>
      <c r="J26" s="655"/>
      <c r="K26" s="138">
        <f>IF(G26=0,0,((F26/G26)*(1-G26)*I26*(1-J26))+(F26*I26*(1-H26)))</f>
        <v>0</v>
      </c>
      <c r="L26" s="197">
        <f>K26*0.042/2205</f>
        <v>0</v>
      </c>
      <c r="M26" s="133">
        <f>E26*L26</f>
        <v>0</v>
      </c>
      <c r="N26" s="133">
        <f>(1-E26)*L26</f>
        <v>0</v>
      </c>
      <c r="O26" s="75"/>
      <c r="P26" s="1"/>
      <c r="Q26" s="1"/>
      <c r="R26" s="1"/>
      <c r="S26" s="1"/>
      <c r="T26" s="1"/>
      <c r="U26" s="1"/>
      <c r="V26" s="1"/>
    </row>
    <row r="27" spans="2:22" ht="18" customHeight="1">
      <c r="B27" s="57"/>
      <c r="C27" s="679"/>
      <c r="D27" s="682"/>
      <c r="E27" s="659"/>
      <c r="F27" s="656"/>
      <c r="G27" s="655"/>
      <c r="H27" s="655"/>
      <c r="I27" s="655"/>
      <c r="J27" s="655"/>
      <c r="K27" s="138">
        <f>IF(G27=0,0,((F27/G27)*(1-G27)*I27*(1-J27))+(F27*I27*(1-H27)))</f>
        <v>0</v>
      </c>
      <c r="L27" s="197">
        <f>K27*0.042/2205</f>
        <v>0</v>
      </c>
      <c r="M27" s="133">
        <f>E27*L27</f>
        <v>0</v>
      </c>
      <c r="N27" s="133">
        <f>(1-E27)*L27</f>
        <v>0</v>
      </c>
      <c r="O27" s="75"/>
      <c r="P27" s="1"/>
      <c r="Q27" s="1"/>
      <c r="R27" s="1"/>
      <c r="S27" s="1"/>
      <c r="T27" s="1"/>
      <c r="U27" s="1"/>
      <c r="V27" s="1"/>
    </row>
    <row r="28" spans="2:15" ht="18" customHeight="1">
      <c r="B28" s="57"/>
      <c r="C28" s="679"/>
      <c r="D28" s="680"/>
      <c r="E28" s="658"/>
      <c r="F28" s="656"/>
      <c r="G28" s="655"/>
      <c r="H28" s="655"/>
      <c r="I28" s="655"/>
      <c r="J28" s="655"/>
      <c r="K28" s="138">
        <f>IF(G28=0,0,((F28/G28)*(1-G28)*I28*(1-J28))+(F28*I28*(1-H28)))</f>
        <v>0</v>
      </c>
      <c r="L28" s="197">
        <f>K28*0.042/2205</f>
        <v>0</v>
      </c>
      <c r="M28" s="133">
        <f>E28*L28</f>
        <v>0</v>
      </c>
      <c r="N28" s="133">
        <f>(1-E28)*L28</f>
        <v>0</v>
      </c>
      <c r="O28" s="75"/>
    </row>
    <row r="29" spans="2:15" ht="18" customHeight="1">
      <c r="B29" s="78"/>
      <c r="C29" s="79"/>
      <c r="D29" s="154"/>
      <c r="E29" s="154"/>
      <c r="F29" s="154"/>
      <c r="G29" s="154"/>
      <c r="H29" s="154"/>
      <c r="I29" s="79"/>
      <c r="J29" s="79"/>
      <c r="K29" s="139"/>
      <c r="L29" s="139"/>
      <c r="M29" s="139"/>
      <c r="N29" s="139"/>
      <c r="O29" s="76"/>
    </row>
    <row r="30" spans="2:15" ht="18" customHeight="1" thickBot="1">
      <c r="B30" s="192"/>
      <c r="C30" s="193"/>
      <c r="D30" s="194"/>
      <c r="E30" s="194"/>
      <c r="F30" s="194"/>
      <c r="G30" s="194"/>
      <c r="H30" s="194"/>
      <c r="I30" s="969" t="s">
        <v>237</v>
      </c>
      <c r="J30" s="970"/>
      <c r="K30" s="970"/>
      <c r="L30" s="971"/>
      <c r="M30" s="189">
        <f>SUM(M24:M28)</f>
        <v>0</v>
      </c>
      <c r="N30" s="189">
        <f>SUM(N24:N28)</f>
        <v>0</v>
      </c>
      <c r="O30" s="195" t="s">
        <v>94</v>
      </c>
    </row>
    <row r="31" spans="2:19" ht="20.25" customHeight="1" thickTop="1">
      <c r="B31" s="54"/>
      <c r="C31" s="216" t="s">
        <v>525</v>
      </c>
      <c r="D31" s="149"/>
      <c r="E31" s="149"/>
      <c r="F31" s="149"/>
      <c r="G31" s="55"/>
      <c r="H31" s="55"/>
      <c r="I31" s="55"/>
      <c r="J31" s="55"/>
      <c r="K31" s="55"/>
      <c r="L31" s="55"/>
      <c r="M31" s="55"/>
      <c r="N31" s="65"/>
      <c r="O31" s="55"/>
      <c r="P31" s="55"/>
      <c r="Q31" s="55"/>
      <c r="R31" s="55"/>
      <c r="S31" s="56"/>
    </row>
    <row r="32" spans="2:19" ht="65.25" customHeight="1">
      <c r="B32" s="57"/>
      <c r="C32" s="879" t="s">
        <v>0</v>
      </c>
      <c r="D32" s="881"/>
      <c r="E32" s="881"/>
      <c r="F32" s="881"/>
      <c r="G32" s="881"/>
      <c r="H32" s="881"/>
      <c r="I32" s="881"/>
      <c r="J32" s="881"/>
      <c r="K32" s="881"/>
      <c r="L32" s="881"/>
      <c r="M32" s="65"/>
      <c r="N32" s="65"/>
      <c r="O32" s="65"/>
      <c r="P32" s="65"/>
      <c r="Q32" s="65"/>
      <c r="R32" s="224"/>
      <c r="S32" s="58"/>
    </row>
    <row r="33" spans="2:19" ht="18" customHeight="1">
      <c r="B33" s="57"/>
      <c r="C33" s="98"/>
      <c r="D33" s="190"/>
      <c r="E33" s="190"/>
      <c r="F33" s="190"/>
      <c r="G33" s="190"/>
      <c r="H33" s="65"/>
      <c r="I33" s="65"/>
      <c r="J33" s="65"/>
      <c r="K33" s="65"/>
      <c r="L33" s="65"/>
      <c r="M33" s="65"/>
      <c r="N33" s="65"/>
      <c r="O33" s="65"/>
      <c r="P33" s="65"/>
      <c r="Q33" s="65"/>
      <c r="R33" s="65"/>
      <c r="S33" s="58"/>
    </row>
    <row r="34" spans="2:19" ht="18" customHeight="1">
      <c r="B34" s="57"/>
      <c r="C34" s="98"/>
      <c r="D34" s="190"/>
      <c r="E34" s="963" t="s">
        <v>353</v>
      </c>
      <c r="F34" s="941"/>
      <c r="G34" s="941"/>
      <c r="H34" s="941"/>
      <c r="I34" s="941"/>
      <c r="J34" s="941"/>
      <c r="K34" s="942"/>
      <c r="L34" s="981" t="s">
        <v>368</v>
      </c>
      <c r="M34" s="982"/>
      <c r="N34" s="982"/>
      <c r="O34" s="983"/>
      <c r="P34" s="249"/>
      <c r="Q34" s="249"/>
      <c r="R34" s="249"/>
      <c r="S34" s="58"/>
    </row>
    <row r="35" spans="2:19" ht="18" customHeight="1">
      <c r="B35" s="57"/>
      <c r="C35" s="65"/>
      <c r="D35" s="150"/>
      <c r="E35" s="46" t="s">
        <v>282</v>
      </c>
      <c r="F35" s="163" t="s">
        <v>283</v>
      </c>
      <c r="G35" s="3" t="s">
        <v>257</v>
      </c>
      <c r="H35" s="3" t="s">
        <v>263</v>
      </c>
      <c r="I35" s="3" t="s">
        <v>258</v>
      </c>
      <c r="J35" s="3" t="s">
        <v>259</v>
      </c>
      <c r="K35" s="3" t="s">
        <v>262</v>
      </c>
      <c r="L35" s="3" t="s">
        <v>271</v>
      </c>
      <c r="M35" s="128" t="s">
        <v>526</v>
      </c>
      <c r="N35" s="246" t="s">
        <v>532</v>
      </c>
      <c r="O35" s="128" t="s">
        <v>533</v>
      </c>
      <c r="P35" s="128" t="s">
        <v>581</v>
      </c>
      <c r="Q35" s="128" t="s">
        <v>521</v>
      </c>
      <c r="R35" s="128" t="s">
        <v>520</v>
      </c>
      <c r="S35" s="72"/>
    </row>
    <row r="36" spans="2:19" ht="111" customHeight="1">
      <c r="B36" s="67"/>
      <c r="C36" s="134"/>
      <c r="D36" s="151"/>
      <c r="E36" s="634" t="s">
        <v>280</v>
      </c>
      <c r="F36" s="164" t="s">
        <v>113</v>
      </c>
      <c r="G36" s="5" t="s">
        <v>114</v>
      </c>
      <c r="H36" s="5" t="s">
        <v>529</v>
      </c>
      <c r="I36" s="5" t="s">
        <v>530</v>
      </c>
      <c r="J36" s="5" t="s">
        <v>531</v>
      </c>
      <c r="K36" s="164" t="s">
        <v>115</v>
      </c>
      <c r="L36" s="5" t="s">
        <v>527</v>
      </c>
      <c r="M36" s="5" t="s">
        <v>580</v>
      </c>
      <c r="N36" s="40" t="s">
        <v>593</v>
      </c>
      <c r="O36" s="8" t="s">
        <v>118</v>
      </c>
      <c r="P36" s="8" t="s">
        <v>511</v>
      </c>
      <c r="Q36" s="636" t="s">
        <v>99</v>
      </c>
      <c r="R36" s="636" t="s">
        <v>92</v>
      </c>
      <c r="S36" s="73"/>
    </row>
    <row r="37" spans="2:29" ht="61.5" customHeight="1">
      <c r="B37" s="57"/>
      <c r="C37" s="65"/>
      <c r="D37" s="150"/>
      <c r="E37" s="635"/>
      <c r="F37" s="186"/>
      <c r="G37" s="8"/>
      <c r="H37" s="8"/>
      <c r="I37" s="8"/>
      <c r="J37" s="8"/>
      <c r="K37" s="8" t="s">
        <v>116</v>
      </c>
      <c r="L37" s="8"/>
      <c r="M37" s="8"/>
      <c r="N37" s="245"/>
      <c r="O37" s="247" t="s">
        <v>592</v>
      </c>
      <c r="P37" s="135" t="s">
        <v>486</v>
      </c>
      <c r="Q37" s="135" t="s">
        <v>100</v>
      </c>
      <c r="R37" s="135" t="s">
        <v>101</v>
      </c>
      <c r="S37" s="73"/>
      <c r="T37"/>
      <c r="U37"/>
      <c r="V37"/>
      <c r="W37"/>
      <c r="X37"/>
      <c r="Y37"/>
      <c r="Z37"/>
      <c r="AA37"/>
      <c r="AB37"/>
      <c r="AC37"/>
    </row>
    <row r="38" spans="2:29" ht="20.25" customHeight="1">
      <c r="B38" s="57"/>
      <c r="C38" s="65" t="s">
        <v>505</v>
      </c>
      <c r="D38" s="152" t="s">
        <v>506</v>
      </c>
      <c r="E38" s="640">
        <v>0.7</v>
      </c>
      <c r="F38" s="69">
        <v>19300</v>
      </c>
      <c r="G38" s="69">
        <v>3200</v>
      </c>
      <c r="H38" s="69">
        <v>0.03</v>
      </c>
      <c r="I38" s="69">
        <v>20</v>
      </c>
      <c r="J38" s="69">
        <v>0</v>
      </c>
      <c r="K38" s="136">
        <f>F38*G38*(EXP(-H38*J38)-EXP(-H38*I38))</f>
        <v>27865393.35483293</v>
      </c>
      <c r="L38" s="191">
        <v>0.1</v>
      </c>
      <c r="M38" s="191">
        <v>0</v>
      </c>
      <c r="N38" s="191">
        <v>0</v>
      </c>
      <c r="O38" s="188">
        <f>(K38*(1-M38)*(1-L38))+(K38*M38*(1-N38))</f>
        <v>25078854.019349635</v>
      </c>
      <c r="P38" s="188">
        <f>O38*0.045/2205</f>
        <v>511.81334733366594</v>
      </c>
      <c r="Q38" s="136">
        <f>E38*P38</f>
        <v>358.26934313356617</v>
      </c>
      <c r="R38" s="136">
        <f>(1-E38)*P38</f>
        <v>153.5440042000998</v>
      </c>
      <c r="S38" s="70"/>
      <c r="T38"/>
      <c r="U38"/>
      <c r="V38"/>
      <c r="W38"/>
      <c r="X38"/>
      <c r="Y38"/>
      <c r="Z38"/>
      <c r="AA38"/>
      <c r="AB38"/>
      <c r="AC38"/>
    </row>
    <row r="39" spans="2:29" ht="19.5" customHeight="1">
      <c r="B39" s="82"/>
      <c r="C39" s="41" t="s">
        <v>504</v>
      </c>
      <c r="D39" s="153" t="s">
        <v>503</v>
      </c>
      <c r="E39" s="639"/>
      <c r="F39" s="12"/>
      <c r="G39" s="11"/>
      <c r="H39" s="36"/>
      <c r="I39" s="36"/>
      <c r="J39" s="36"/>
      <c r="K39" s="36"/>
      <c r="L39" s="137"/>
      <c r="M39" s="137"/>
      <c r="N39" s="137"/>
      <c r="O39" s="12"/>
      <c r="P39" s="12"/>
      <c r="Q39" s="137"/>
      <c r="R39" s="12"/>
      <c r="S39" s="74"/>
      <c r="T39"/>
      <c r="U39"/>
      <c r="V39"/>
      <c r="W39"/>
      <c r="X39"/>
      <c r="Y39"/>
      <c r="Z39"/>
      <c r="AA39"/>
      <c r="AB39"/>
      <c r="AC39"/>
    </row>
    <row r="40" spans="2:29" ht="18.75" customHeight="1">
      <c r="B40" s="57"/>
      <c r="C40" s="679"/>
      <c r="D40" s="680"/>
      <c r="E40" s="658"/>
      <c r="F40" s="656"/>
      <c r="G40" s="655"/>
      <c r="H40" s="655"/>
      <c r="I40" s="655"/>
      <c r="J40" s="655"/>
      <c r="K40" s="138">
        <f>F40*G40*(EXP(-H40*J40)-EXP(-H40*I40))</f>
        <v>0</v>
      </c>
      <c r="L40" s="655"/>
      <c r="M40" s="655"/>
      <c r="N40" s="655"/>
      <c r="O40" s="254">
        <f>(K40*(1-M40)*(1-L40))+(K40*M40*(1-N40))</f>
        <v>0</v>
      </c>
      <c r="P40" s="138">
        <f>O40*0.045/2205</f>
        <v>0</v>
      </c>
      <c r="Q40" s="133">
        <f>E40*P40</f>
        <v>0</v>
      </c>
      <c r="R40" s="133">
        <f>(1-E40)*P40</f>
        <v>0</v>
      </c>
      <c r="S40" s="74"/>
      <c r="T40"/>
      <c r="U40"/>
      <c r="V40"/>
      <c r="W40"/>
      <c r="X40"/>
      <c r="Y40"/>
      <c r="Z40"/>
      <c r="AA40"/>
      <c r="AB40"/>
      <c r="AC40"/>
    </row>
    <row r="41" spans="2:29" ht="18" customHeight="1">
      <c r="B41" s="57"/>
      <c r="C41" s="679"/>
      <c r="D41" s="680"/>
      <c r="E41" s="658"/>
      <c r="F41" s="656"/>
      <c r="G41" s="655"/>
      <c r="H41" s="655"/>
      <c r="I41" s="655"/>
      <c r="J41" s="655"/>
      <c r="K41" s="138">
        <f>F41*G41*(EXP(-H41*J41)-EXP(-H41*I41))</f>
        <v>0</v>
      </c>
      <c r="L41" s="655"/>
      <c r="M41" s="655"/>
      <c r="N41" s="655"/>
      <c r="O41" s="254">
        <f>(K41*(1-M41)*(1-L41))+(K41*M41*(1-N41))</f>
        <v>0</v>
      </c>
      <c r="P41" s="138">
        <f>O41*0.045/2205</f>
        <v>0</v>
      </c>
      <c r="Q41" s="133">
        <f>E41*P41</f>
        <v>0</v>
      </c>
      <c r="R41" s="133">
        <f>(1-E41)*P41</f>
        <v>0</v>
      </c>
      <c r="S41" s="74"/>
      <c r="T41"/>
      <c r="U41"/>
      <c r="V41"/>
      <c r="W41"/>
      <c r="X41"/>
      <c r="Y41"/>
      <c r="Z41"/>
      <c r="AA41"/>
      <c r="AB41"/>
      <c r="AC41"/>
    </row>
    <row r="42" spans="2:29" ht="20.25" customHeight="1">
      <c r="B42" s="57"/>
      <c r="C42" s="679"/>
      <c r="D42" s="680"/>
      <c r="E42" s="658"/>
      <c r="F42" s="656"/>
      <c r="G42" s="655"/>
      <c r="H42" s="655"/>
      <c r="I42" s="655"/>
      <c r="J42" s="655"/>
      <c r="K42" s="138">
        <f>F42*G42*(EXP(-H42*J42)-EXP(-H42*I42))</f>
        <v>0</v>
      </c>
      <c r="L42" s="655"/>
      <c r="M42" s="655"/>
      <c r="N42" s="655"/>
      <c r="O42" s="254">
        <f>(K42*(1-M42)*(1-L42))+(K42*M42*(1-N42))</f>
        <v>0</v>
      </c>
      <c r="P42" s="138">
        <f>O42*0.045/2205</f>
        <v>0</v>
      </c>
      <c r="Q42" s="133">
        <f>E42*P42</f>
        <v>0</v>
      </c>
      <c r="R42" s="133">
        <f>(1-E42)*P42</f>
        <v>0</v>
      </c>
      <c r="S42" s="74"/>
      <c r="T42"/>
      <c r="U42"/>
      <c r="V42"/>
      <c r="W42"/>
      <c r="X42"/>
      <c r="Y42"/>
      <c r="Z42"/>
      <c r="AA42"/>
      <c r="AB42"/>
      <c r="AC42"/>
    </row>
    <row r="43" spans="2:29" ht="21" customHeight="1">
      <c r="B43" s="57"/>
      <c r="C43" s="679"/>
      <c r="D43" s="682"/>
      <c r="E43" s="659"/>
      <c r="F43" s="656"/>
      <c r="G43" s="655"/>
      <c r="H43" s="655"/>
      <c r="I43" s="655"/>
      <c r="J43" s="655"/>
      <c r="K43" s="138">
        <f>F43*G43*(EXP(-H43*J43)-EXP(-H43*I43))</f>
        <v>0</v>
      </c>
      <c r="L43" s="655"/>
      <c r="M43" s="655"/>
      <c r="N43" s="655"/>
      <c r="O43" s="254">
        <f>(K43*(1-M43)*(1-L43))+(K43*M43*(1-N43))</f>
        <v>0</v>
      </c>
      <c r="P43" s="138">
        <f>O43*0.045/2205</f>
        <v>0</v>
      </c>
      <c r="Q43" s="133">
        <f>E43*P43</f>
        <v>0</v>
      </c>
      <c r="R43" s="133">
        <f>(1-E43)*P43</f>
        <v>0</v>
      </c>
      <c r="S43" s="74"/>
      <c r="T43"/>
      <c r="U43"/>
      <c r="V43"/>
      <c r="W43"/>
      <c r="X43"/>
      <c r="Y43"/>
      <c r="Z43"/>
      <c r="AA43"/>
      <c r="AB43"/>
      <c r="AC43"/>
    </row>
    <row r="44" spans="2:29" ht="20.25" customHeight="1">
      <c r="B44" s="57"/>
      <c r="C44" s="679"/>
      <c r="D44" s="680"/>
      <c r="E44" s="658"/>
      <c r="F44" s="656"/>
      <c r="G44" s="655"/>
      <c r="H44" s="655"/>
      <c r="I44" s="655"/>
      <c r="J44" s="655"/>
      <c r="K44" s="138">
        <f>F44*G44*(EXP(-H44*J44)-EXP(-H44*I44))</f>
        <v>0</v>
      </c>
      <c r="L44" s="655"/>
      <c r="M44" s="655"/>
      <c r="N44" s="655"/>
      <c r="O44" s="254">
        <f>(K44*(1-M44)*(1-L44))+(K44*M44*(1-N44))</f>
        <v>0</v>
      </c>
      <c r="P44" s="138">
        <f>O44*0.045/2205</f>
        <v>0</v>
      </c>
      <c r="Q44" s="133">
        <f>E44*P44</f>
        <v>0</v>
      </c>
      <c r="R44" s="133">
        <f>(1-E44)*P44</f>
        <v>0</v>
      </c>
      <c r="S44" s="74"/>
      <c r="T44"/>
      <c r="U44"/>
      <c r="V44"/>
      <c r="W44"/>
      <c r="X44"/>
      <c r="Y44"/>
      <c r="Z44"/>
      <c r="AA44"/>
      <c r="AB44"/>
      <c r="AC44"/>
    </row>
    <row r="45" spans="2:27" ht="18" customHeight="1">
      <c r="B45" s="78"/>
      <c r="C45" s="79"/>
      <c r="D45" s="154"/>
      <c r="E45" s="154"/>
      <c r="F45" s="154"/>
      <c r="G45" s="154"/>
      <c r="H45" s="79"/>
      <c r="I45" s="79"/>
      <c r="J45" s="139"/>
      <c r="K45" s="139"/>
      <c r="L45" s="139"/>
      <c r="M45" s="139"/>
      <c r="N45" s="139"/>
      <c r="O45" s="139"/>
      <c r="P45" s="139"/>
      <c r="Q45" s="652" t="s">
        <v>149</v>
      </c>
      <c r="R45" s="652" t="s">
        <v>150</v>
      </c>
      <c r="S45" s="75"/>
      <c r="T45"/>
      <c r="U45"/>
      <c r="V45"/>
      <c r="W45"/>
      <c r="X45"/>
      <c r="Y45"/>
      <c r="Z45"/>
      <c r="AA45"/>
    </row>
    <row r="46" spans="2:28" ht="18" customHeight="1" thickBot="1">
      <c r="B46" s="192"/>
      <c r="C46" s="193"/>
      <c r="D46" s="194"/>
      <c r="E46" s="194"/>
      <c r="F46" s="198"/>
      <c r="G46" s="198"/>
      <c r="H46" s="198"/>
      <c r="I46" s="198"/>
      <c r="J46" s="198"/>
      <c r="K46" s="969" t="s">
        <v>236</v>
      </c>
      <c r="L46" s="970"/>
      <c r="M46" s="970"/>
      <c r="N46" s="971"/>
      <c r="O46" s="224"/>
      <c r="P46" s="224"/>
      <c r="Q46" s="189">
        <f>SUM(Q40:Q44)</f>
        <v>0</v>
      </c>
      <c r="R46" s="189">
        <f>SUM(R40:R44)</f>
        <v>0</v>
      </c>
      <c r="S46" s="250" t="s">
        <v>94</v>
      </c>
      <c r="T46" s="877"/>
      <c r="U46" s="31"/>
      <c r="V46"/>
      <c r="W46"/>
      <c r="X46"/>
      <c r="Y46"/>
      <c r="Z46"/>
      <c r="AA46"/>
      <c r="AB46"/>
    </row>
    <row r="47" spans="2:26" ht="18" customHeight="1" thickTop="1">
      <c r="B47" s="213"/>
      <c r="C47" s="55"/>
      <c r="D47" s="215"/>
      <c r="E47" s="215"/>
      <c r="F47" s="216"/>
      <c r="G47" s="216"/>
      <c r="H47" s="216"/>
      <c r="I47" s="216"/>
      <c r="J47" s="216"/>
      <c r="K47" s="216"/>
      <c r="L47" s="139"/>
      <c r="M47" s="139"/>
      <c r="N47" s="139"/>
      <c r="O47" s="216"/>
      <c r="P47" s="251"/>
      <c r="Q47" s="652" t="s">
        <v>149</v>
      </c>
      <c r="R47" s="652" t="s">
        <v>150</v>
      </c>
      <c r="S47" s="224"/>
      <c r="T47" s="568"/>
      <c r="U47"/>
      <c r="V47"/>
      <c r="W47"/>
      <c r="X47"/>
      <c r="Y47"/>
      <c r="Z47"/>
    </row>
    <row r="48" spans="2:27" ht="18" customHeight="1">
      <c r="B48" s="78"/>
      <c r="C48" s="139" t="s">
        <v>249</v>
      </c>
      <c r="D48" s="154"/>
      <c r="E48" s="154"/>
      <c r="F48" s="139"/>
      <c r="G48" s="139"/>
      <c r="H48" s="139"/>
      <c r="I48" s="139"/>
      <c r="J48" s="139"/>
      <c r="K48" s="980" t="s">
        <v>538</v>
      </c>
      <c r="L48" s="941"/>
      <c r="M48" s="941"/>
      <c r="N48" s="942"/>
      <c r="O48" s="541"/>
      <c r="P48" s="224"/>
      <c r="Q48" s="140">
        <f>IF(OR(G57="Invalid Year",ISERROR(G57)),+M30+Q46,+M30+Q46+G57)</f>
        <v>0</v>
      </c>
      <c r="R48" s="140">
        <f>IF(OR(G57="Invalid Year",ISERROR(G57)),+N30+R46,+N30+R46+G58)</f>
        <v>0</v>
      </c>
      <c r="S48" s="252" t="s">
        <v>94</v>
      </c>
      <c r="T48" s="568"/>
      <c r="U48"/>
      <c r="V48"/>
      <c r="W48"/>
      <c r="X48"/>
      <c r="Y48"/>
      <c r="Z48"/>
      <c r="AA48"/>
    </row>
    <row r="49" spans="2:20" ht="13.5" thickBot="1">
      <c r="B49" s="80"/>
      <c r="C49" s="81"/>
      <c r="D49" s="81"/>
      <c r="E49" s="81"/>
      <c r="F49" s="81"/>
      <c r="G49" s="81"/>
      <c r="H49" s="81"/>
      <c r="I49" s="81"/>
      <c r="J49" s="81"/>
      <c r="K49" s="81"/>
      <c r="L49" s="81"/>
      <c r="M49" s="81"/>
      <c r="N49" s="81"/>
      <c r="O49" s="81"/>
      <c r="P49" s="81"/>
      <c r="Q49" s="81"/>
      <c r="R49" s="81"/>
      <c r="S49" s="81"/>
      <c r="T49" s="568"/>
    </row>
    <row r="50" spans="2:17" ht="20.25" customHeight="1" thickTop="1">
      <c r="B50" s="54"/>
      <c r="C50" s="216" t="s">
        <v>241</v>
      </c>
      <c r="D50" s="149"/>
      <c r="E50" s="149"/>
      <c r="F50" s="149"/>
      <c r="G50" s="55"/>
      <c r="H50" s="55"/>
      <c r="I50" s="55"/>
      <c r="J50" s="55"/>
      <c r="K50" s="55"/>
      <c r="L50" s="55"/>
      <c r="M50" s="55"/>
      <c r="N50" s="55"/>
      <c r="O50" s="55"/>
      <c r="P50" s="55"/>
      <c r="Q50" s="56"/>
    </row>
    <row r="51" spans="2:17" ht="115.5" customHeight="1">
      <c r="B51" s="57"/>
      <c r="C51" s="879" t="s">
        <v>17</v>
      </c>
      <c r="D51" s="881"/>
      <c r="E51" s="881"/>
      <c r="F51" s="881"/>
      <c r="G51" s="881"/>
      <c r="H51" s="881"/>
      <c r="I51" s="881"/>
      <c r="J51" s="881"/>
      <c r="K51" s="881"/>
      <c r="L51" s="881"/>
      <c r="M51" s="65"/>
      <c r="N51" s="65"/>
      <c r="O51" s="65"/>
      <c r="P51" s="65"/>
      <c r="Q51" s="58"/>
    </row>
    <row r="52" spans="2:17" ht="69" customHeight="1">
      <c r="B52" s="57"/>
      <c r="C52" s="41" t="s">
        <v>504</v>
      </c>
      <c r="D52" s="153" t="s">
        <v>503</v>
      </c>
      <c r="E52" s="643" t="s">
        <v>280</v>
      </c>
      <c r="F52" s="569"/>
      <c r="G52" s="569"/>
      <c r="H52" s="290"/>
      <c r="I52" s="290"/>
      <c r="J52" s="290"/>
      <c r="K52" s="290"/>
      <c r="L52" s="290"/>
      <c r="M52" s="65"/>
      <c r="N52" s="65"/>
      <c r="O52" s="65"/>
      <c r="P52" s="65"/>
      <c r="Q52" s="58"/>
    </row>
    <row r="53" spans="2:17" ht="21.75" customHeight="1">
      <c r="B53" s="57"/>
      <c r="C53" s="679"/>
      <c r="D53" s="680"/>
      <c r="E53" s="660"/>
      <c r="F53" s="569"/>
      <c r="G53" s="569"/>
      <c r="H53" s="290"/>
      <c r="I53" s="290"/>
      <c r="J53" s="290"/>
      <c r="K53" s="290"/>
      <c r="L53" s="290"/>
      <c r="M53" s="65"/>
      <c r="N53" s="65"/>
      <c r="O53" s="65"/>
      <c r="P53" s="65"/>
      <c r="Q53" s="58"/>
    </row>
    <row r="54" spans="2:17" ht="21.75" customHeight="1">
      <c r="B54" s="57"/>
      <c r="C54" s="567" t="s">
        <v>415</v>
      </c>
      <c r="D54" s="290"/>
      <c r="E54" s="290"/>
      <c r="F54" s="290"/>
      <c r="G54" s="661"/>
      <c r="H54" s="290"/>
      <c r="I54" s="290"/>
      <c r="J54" s="290"/>
      <c r="K54" s="290"/>
      <c r="L54" s="290"/>
      <c r="M54" s="65"/>
      <c r="N54" s="65"/>
      <c r="O54" s="65"/>
      <c r="P54" s="65"/>
      <c r="Q54" s="58"/>
    </row>
    <row r="55" spans="2:17" ht="21.75" customHeight="1">
      <c r="B55" s="57"/>
      <c r="C55" s="567" t="s">
        <v>414</v>
      </c>
      <c r="D55" s="290"/>
      <c r="E55" s="290"/>
      <c r="F55" s="290"/>
      <c r="G55" s="661"/>
      <c r="H55" s="290"/>
      <c r="I55" s="290"/>
      <c r="J55" s="290"/>
      <c r="K55" s="290"/>
      <c r="L55" s="290"/>
      <c r="M55" s="65"/>
      <c r="N55" s="65"/>
      <c r="O55" s="65"/>
      <c r="P55" s="65"/>
      <c r="Q55" s="58"/>
    </row>
    <row r="56" spans="2:17" ht="21.75" customHeight="1">
      <c r="B56" s="57"/>
      <c r="C56" s="565" t="s">
        <v>417</v>
      </c>
      <c r="D56" s="573"/>
      <c r="E56" s="569"/>
      <c r="F56" s="569"/>
      <c r="G56" s="661"/>
      <c r="H56" s="290"/>
      <c r="I56" s="290"/>
      <c r="J56" s="290"/>
      <c r="K56" s="290"/>
      <c r="L56" s="290"/>
      <c r="M56" s="65"/>
      <c r="N56" s="65"/>
      <c r="O56" s="65"/>
      <c r="P56" s="65"/>
      <c r="Q56" s="58"/>
    </row>
    <row r="57" spans="2:58" ht="18" customHeight="1">
      <c r="B57" s="57"/>
      <c r="C57" s="964" t="s">
        <v>102</v>
      </c>
      <c r="D57" s="965"/>
      <c r="E57" s="960"/>
      <c r="F57" s="569"/>
      <c r="G57" s="572">
        <f>IF(G56&gt;=G54,IF(ISERROR(LOOKUP(G56,H59:BE59,H61:BE61)),0,E53*LOOKUP(G56,H59:BE59,H61:BE61)),"Invalid Year")</f>
        <v>0</v>
      </c>
      <c r="H57" s="65" t="s">
        <v>94</v>
      </c>
      <c r="I57" s="65"/>
      <c r="J57" s="65"/>
      <c r="K57" s="65"/>
      <c r="L57" s="65"/>
      <c r="M57" s="65"/>
      <c r="N57" s="65"/>
      <c r="O57" s="65"/>
      <c r="P57" s="65"/>
      <c r="Q57" s="65"/>
      <c r="R57" s="645"/>
      <c r="S57" s="644"/>
      <c r="T57" s="644"/>
      <c r="U57" s="644"/>
      <c r="V57" s="644"/>
      <c r="W57" s="644"/>
      <c r="X57" s="644"/>
      <c r="Y57" s="644"/>
      <c r="Z57" s="644"/>
      <c r="AA57" s="644"/>
      <c r="AB57" s="644"/>
      <c r="AC57" s="644"/>
      <c r="AD57" s="644"/>
      <c r="AE57" s="644"/>
      <c r="AF57" s="644"/>
      <c r="AG57" s="644"/>
      <c r="AH57" s="644"/>
      <c r="AI57" s="644"/>
      <c r="AJ57" s="644"/>
      <c r="AK57" s="644"/>
      <c r="AL57" s="644"/>
      <c r="AM57" s="644"/>
      <c r="AN57" s="644"/>
      <c r="AO57" s="644"/>
      <c r="AP57" s="644"/>
      <c r="AQ57" s="644"/>
      <c r="AR57" s="644"/>
      <c r="AS57" s="644"/>
      <c r="AT57" s="644"/>
      <c r="AU57" s="644"/>
      <c r="AV57" s="644"/>
      <c r="AW57" s="644"/>
      <c r="AX57" s="644"/>
      <c r="AY57" s="644"/>
      <c r="AZ57" s="644"/>
      <c r="BA57" s="644"/>
      <c r="BB57" s="644"/>
      <c r="BC57" s="644"/>
      <c r="BD57" s="644"/>
      <c r="BE57" s="644"/>
      <c r="BF57" s="644"/>
    </row>
    <row r="58" spans="2:17" ht="21.75" customHeight="1">
      <c r="B58" s="57"/>
      <c r="C58" s="964" t="s">
        <v>103</v>
      </c>
      <c r="D58" s="965"/>
      <c r="E58" s="960"/>
      <c r="F58" s="290"/>
      <c r="G58" s="572">
        <f>IF(G56&gt;=G54,IF(ISERROR(LOOKUP(G56,H59:BE59,H61:BE61)),0,(1-E53)*LOOKUP(G56,H59:BE59,H61:BE61)),"Invalid Year")</f>
        <v>0</v>
      </c>
      <c r="H58" s="65" t="s">
        <v>94</v>
      </c>
      <c r="I58" s="290"/>
      <c r="J58" s="290"/>
      <c r="K58" s="290"/>
      <c r="L58" s="290"/>
      <c r="M58" s="65"/>
      <c r="N58" s="65"/>
      <c r="O58" s="65"/>
      <c r="P58" s="65"/>
      <c r="Q58" s="58"/>
    </row>
    <row r="59" spans="2:58" s="556" customFormat="1" ht="48.75" customHeight="1" thickBot="1">
      <c r="B59" s="557"/>
      <c r="C59" s="558"/>
      <c r="D59" s="65"/>
      <c r="E59" s="65"/>
      <c r="F59" s="65"/>
      <c r="G59" s="563" t="s">
        <v>242</v>
      </c>
      <c r="H59" s="570">
        <f>+IF(G54="","",G54)</f>
      </c>
      <c r="I59" s="570">
        <f>+IF(ISERROR(AND(H59+1&gt;$G55,H59+1&gt;$G56)),"",IF((AND(H59+1&gt;$G55,H59+1&gt;$G56)),"",H59+1))</f>
      </c>
      <c r="J59" s="570">
        <f aca="true" t="shared" si="0" ref="J59:BE59">+IF(ISERROR(AND(I59+1&gt;$G55,I59+1&gt;$G56)),"",IF((AND(I59+1&gt;$G55,I59+1&gt;$G56)),"",I59+1))</f>
      </c>
      <c r="K59" s="570">
        <f t="shared" si="0"/>
      </c>
      <c r="L59" s="570">
        <f t="shared" si="0"/>
      </c>
      <c r="M59" s="570">
        <f t="shared" si="0"/>
      </c>
      <c r="N59" s="570">
        <f t="shared" si="0"/>
      </c>
      <c r="O59" s="570">
        <f t="shared" si="0"/>
      </c>
      <c r="P59" s="570">
        <f t="shared" si="0"/>
      </c>
      <c r="Q59" s="570">
        <f t="shared" si="0"/>
      </c>
      <c r="R59" s="570">
        <f t="shared" si="0"/>
      </c>
      <c r="S59" s="570">
        <f t="shared" si="0"/>
      </c>
      <c r="T59" s="570">
        <f t="shared" si="0"/>
      </c>
      <c r="U59" s="570">
        <f t="shared" si="0"/>
      </c>
      <c r="V59" s="570">
        <f t="shared" si="0"/>
      </c>
      <c r="W59" s="570">
        <f t="shared" si="0"/>
      </c>
      <c r="X59" s="570">
        <f t="shared" si="0"/>
      </c>
      <c r="Y59" s="570">
        <f t="shared" si="0"/>
      </c>
      <c r="Z59" s="570">
        <f t="shared" si="0"/>
      </c>
      <c r="AA59" s="570">
        <f t="shared" si="0"/>
      </c>
      <c r="AB59" s="570">
        <f t="shared" si="0"/>
      </c>
      <c r="AC59" s="570">
        <f t="shared" si="0"/>
      </c>
      <c r="AD59" s="570">
        <f t="shared" si="0"/>
      </c>
      <c r="AE59" s="570">
        <f t="shared" si="0"/>
      </c>
      <c r="AF59" s="570">
        <f t="shared" si="0"/>
      </c>
      <c r="AG59" s="570">
        <f t="shared" si="0"/>
      </c>
      <c r="AH59" s="570">
        <f t="shared" si="0"/>
      </c>
      <c r="AI59" s="570">
        <f t="shared" si="0"/>
      </c>
      <c r="AJ59" s="570">
        <f t="shared" si="0"/>
      </c>
      <c r="AK59" s="570">
        <f t="shared" si="0"/>
      </c>
      <c r="AL59" s="570">
        <f t="shared" si="0"/>
      </c>
      <c r="AM59" s="570">
        <f t="shared" si="0"/>
      </c>
      <c r="AN59" s="570">
        <f t="shared" si="0"/>
      </c>
      <c r="AO59" s="570">
        <f t="shared" si="0"/>
      </c>
      <c r="AP59" s="570">
        <f t="shared" si="0"/>
      </c>
      <c r="AQ59" s="570">
        <f t="shared" si="0"/>
      </c>
      <c r="AR59" s="570">
        <f t="shared" si="0"/>
      </c>
      <c r="AS59" s="570">
        <f t="shared" si="0"/>
      </c>
      <c r="AT59" s="570">
        <f t="shared" si="0"/>
      </c>
      <c r="AU59" s="570">
        <f t="shared" si="0"/>
      </c>
      <c r="AV59" s="570">
        <f t="shared" si="0"/>
      </c>
      <c r="AW59" s="570">
        <f t="shared" si="0"/>
      </c>
      <c r="AX59" s="570">
        <f t="shared" si="0"/>
      </c>
      <c r="AY59" s="570">
        <f t="shared" si="0"/>
      </c>
      <c r="AZ59" s="570">
        <f t="shared" si="0"/>
      </c>
      <c r="BA59" s="570">
        <f t="shared" si="0"/>
      </c>
      <c r="BB59" s="570">
        <f t="shared" si="0"/>
      </c>
      <c r="BC59" s="570">
        <f t="shared" si="0"/>
      </c>
      <c r="BD59" s="570">
        <f t="shared" si="0"/>
      </c>
      <c r="BE59" s="570">
        <f t="shared" si="0"/>
      </c>
      <c r="BF59" s="192"/>
    </row>
    <row r="60" spans="2:58" ht="39.75" thickBot="1" thickTop="1">
      <c r="B60" s="57"/>
      <c r="C60" s="65"/>
      <c r="D60" s="65"/>
      <c r="E60" s="65"/>
      <c r="F60" s="65"/>
      <c r="G60" s="8" t="s">
        <v>512</v>
      </c>
      <c r="H60" s="559">
        <f>IF(ISERROR(H61*21),"",H61*21)</f>
        <v>0</v>
      </c>
      <c r="I60" s="559">
        <f aca="true" t="shared" si="1" ref="I60:BE60">IF(ISERROR(I61*21),"",I61*21)</f>
        <v>0</v>
      </c>
      <c r="J60" s="559">
        <f t="shared" si="1"/>
        <v>0</v>
      </c>
      <c r="K60" s="559">
        <f t="shared" si="1"/>
        <v>0</v>
      </c>
      <c r="L60" s="559">
        <f t="shared" si="1"/>
        <v>0</v>
      </c>
      <c r="M60" s="559">
        <f t="shared" si="1"/>
        <v>0</v>
      </c>
      <c r="N60" s="559">
        <f t="shared" si="1"/>
        <v>0</v>
      </c>
      <c r="O60" s="559">
        <f t="shared" si="1"/>
        <v>0</v>
      </c>
      <c r="P60" s="559">
        <f t="shared" si="1"/>
        <v>0</v>
      </c>
      <c r="Q60" s="559">
        <f t="shared" si="1"/>
        <v>0</v>
      </c>
      <c r="R60" s="559">
        <f t="shared" si="1"/>
        <v>0</v>
      </c>
      <c r="S60" s="559">
        <f t="shared" si="1"/>
        <v>0</v>
      </c>
      <c r="T60" s="559">
        <f t="shared" si="1"/>
        <v>0</v>
      </c>
      <c r="U60" s="559">
        <f t="shared" si="1"/>
        <v>0</v>
      </c>
      <c r="V60" s="559">
        <f t="shared" si="1"/>
        <v>0</v>
      </c>
      <c r="W60" s="559">
        <f t="shared" si="1"/>
        <v>0</v>
      </c>
      <c r="X60" s="559">
        <f t="shared" si="1"/>
        <v>0</v>
      </c>
      <c r="Y60" s="559">
        <f t="shared" si="1"/>
        <v>0</v>
      </c>
      <c r="Z60" s="559">
        <f t="shared" si="1"/>
        <v>0</v>
      </c>
      <c r="AA60" s="559">
        <f t="shared" si="1"/>
        <v>0</v>
      </c>
      <c r="AB60" s="559">
        <f t="shared" si="1"/>
        <v>0</v>
      </c>
      <c r="AC60" s="559">
        <f t="shared" si="1"/>
        <v>0</v>
      </c>
      <c r="AD60" s="559">
        <f t="shared" si="1"/>
        <v>0</v>
      </c>
      <c r="AE60" s="559">
        <f t="shared" si="1"/>
        <v>0</v>
      </c>
      <c r="AF60" s="559">
        <f t="shared" si="1"/>
        <v>0</v>
      </c>
      <c r="AG60" s="559">
        <f t="shared" si="1"/>
        <v>0</v>
      </c>
      <c r="AH60" s="559">
        <f t="shared" si="1"/>
        <v>0</v>
      </c>
      <c r="AI60" s="559">
        <f t="shared" si="1"/>
        <v>0</v>
      </c>
      <c r="AJ60" s="559">
        <f t="shared" si="1"/>
        <v>0</v>
      </c>
      <c r="AK60" s="559">
        <f t="shared" si="1"/>
        <v>0</v>
      </c>
      <c r="AL60" s="559">
        <f t="shared" si="1"/>
        <v>0</v>
      </c>
      <c r="AM60" s="559">
        <f t="shared" si="1"/>
        <v>0</v>
      </c>
      <c r="AN60" s="559">
        <f t="shared" si="1"/>
        <v>0</v>
      </c>
      <c r="AO60" s="559">
        <f t="shared" si="1"/>
        <v>0</v>
      </c>
      <c r="AP60" s="559">
        <f t="shared" si="1"/>
        <v>0</v>
      </c>
      <c r="AQ60" s="559">
        <f t="shared" si="1"/>
        <v>0</v>
      </c>
      <c r="AR60" s="559">
        <f t="shared" si="1"/>
        <v>0</v>
      </c>
      <c r="AS60" s="559">
        <f t="shared" si="1"/>
        <v>0</v>
      </c>
      <c r="AT60" s="559">
        <f t="shared" si="1"/>
        <v>0</v>
      </c>
      <c r="AU60" s="559">
        <f t="shared" si="1"/>
        <v>0</v>
      </c>
      <c r="AV60" s="559">
        <f t="shared" si="1"/>
        <v>0</v>
      </c>
      <c r="AW60" s="559">
        <f t="shared" si="1"/>
        <v>0</v>
      </c>
      <c r="AX60" s="559">
        <f t="shared" si="1"/>
        <v>0</v>
      </c>
      <c r="AY60" s="559">
        <f t="shared" si="1"/>
        <v>0</v>
      </c>
      <c r="AZ60" s="559">
        <f t="shared" si="1"/>
        <v>0</v>
      </c>
      <c r="BA60" s="559">
        <f t="shared" si="1"/>
        <v>0</v>
      </c>
      <c r="BB60" s="559">
        <f t="shared" si="1"/>
        <v>0</v>
      </c>
      <c r="BC60" s="559">
        <f t="shared" si="1"/>
        <v>0</v>
      </c>
      <c r="BD60" s="559">
        <f t="shared" si="1"/>
        <v>0</v>
      </c>
      <c r="BE60" s="559">
        <f t="shared" si="1"/>
        <v>0</v>
      </c>
      <c r="BF60" s="192"/>
    </row>
    <row r="61" spans="2:58" ht="55.5" customHeight="1" thickBot="1" thickTop="1">
      <c r="B61" s="57"/>
      <c r="C61" s="65"/>
      <c r="D61" s="65"/>
      <c r="E61" s="65"/>
      <c r="F61" s="65"/>
      <c r="G61" s="8" t="s">
        <v>511</v>
      </c>
      <c r="H61" s="559">
        <f>IF(ISERROR(H62*0.045/2205),"",H62*0.045/2205)</f>
        <v>0</v>
      </c>
      <c r="I61" s="559">
        <f aca="true" t="shared" si="2" ref="I61:BE61">IF(ISERROR(I62*0.045/2205),"",I62*0.045/2205)</f>
        <v>0</v>
      </c>
      <c r="J61" s="559">
        <f t="shared" si="2"/>
        <v>0</v>
      </c>
      <c r="K61" s="559">
        <f t="shared" si="2"/>
        <v>0</v>
      </c>
      <c r="L61" s="559">
        <f t="shared" si="2"/>
        <v>0</v>
      </c>
      <c r="M61" s="559">
        <f t="shared" si="2"/>
        <v>0</v>
      </c>
      <c r="N61" s="559">
        <f t="shared" si="2"/>
        <v>0</v>
      </c>
      <c r="O61" s="559">
        <f t="shared" si="2"/>
        <v>0</v>
      </c>
      <c r="P61" s="559">
        <f t="shared" si="2"/>
        <v>0</v>
      </c>
      <c r="Q61" s="559">
        <f t="shared" si="2"/>
        <v>0</v>
      </c>
      <c r="R61" s="559">
        <f t="shared" si="2"/>
        <v>0</v>
      </c>
      <c r="S61" s="559">
        <f t="shared" si="2"/>
        <v>0</v>
      </c>
      <c r="T61" s="559">
        <f t="shared" si="2"/>
        <v>0</v>
      </c>
      <c r="U61" s="559">
        <f t="shared" si="2"/>
        <v>0</v>
      </c>
      <c r="V61" s="559">
        <f t="shared" si="2"/>
        <v>0</v>
      </c>
      <c r="W61" s="559">
        <f t="shared" si="2"/>
        <v>0</v>
      </c>
      <c r="X61" s="559">
        <f t="shared" si="2"/>
        <v>0</v>
      </c>
      <c r="Y61" s="559">
        <f t="shared" si="2"/>
        <v>0</v>
      </c>
      <c r="Z61" s="559">
        <f t="shared" si="2"/>
        <v>0</v>
      </c>
      <c r="AA61" s="559">
        <f t="shared" si="2"/>
        <v>0</v>
      </c>
      <c r="AB61" s="559">
        <f t="shared" si="2"/>
        <v>0</v>
      </c>
      <c r="AC61" s="559">
        <f t="shared" si="2"/>
        <v>0</v>
      </c>
      <c r="AD61" s="559">
        <f t="shared" si="2"/>
        <v>0</v>
      </c>
      <c r="AE61" s="559">
        <f t="shared" si="2"/>
        <v>0</v>
      </c>
      <c r="AF61" s="559">
        <f t="shared" si="2"/>
        <v>0</v>
      </c>
      <c r="AG61" s="559">
        <f t="shared" si="2"/>
        <v>0</v>
      </c>
      <c r="AH61" s="559">
        <f t="shared" si="2"/>
        <v>0</v>
      </c>
      <c r="AI61" s="559">
        <f t="shared" si="2"/>
        <v>0</v>
      </c>
      <c r="AJ61" s="559">
        <f t="shared" si="2"/>
        <v>0</v>
      </c>
      <c r="AK61" s="559">
        <f t="shared" si="2"/>
        <v>0</v>
      </c>
      <c r="AL61" s="559">
        <f t="shared" si="2"/>
        <v>0</v>
      </c>
      <c r="AM61" s="559">
        <f t="shared" si="2"/>
        <v>0</v>
      </c>
      <c r="AN61" s="559">
        <f t="shared" si="2"/>
        <v>0</v>
      </c>
      <c r="AO61" s="559">
        <f t="shared" si="2"/>
        <v>0</v>
      </c>
      <c r="AP61" s="559">
        <f t="shared" si="2"/>
        <v>0</v>
      </c>
      <c r="AQ61" s="559">
        <f t="shared" si="2"/>
        <v>0</v>
      </c>
      <c r="AR61" s="559">
        <f t="shared" si="2"/>
        <v>0</v>
      </c>
      <c r="AS61" s="559">
        <f t="shared" si="2"/>
        <v>0</v>
      </c>
      <c r="AT61" s="559">
        <f t="shared" si="2"/>
        <v>0</v>
      </c>
      <c r="AU61" s="559">
        <f t="shared" si="2"/>
        <v>0</v>
      </c>
      <c r="AV61" s="559">
        <f t="shared" si="2"/>
        <v>0</v>
      </c>
      <c r="AW61" s="559">
        <f t="shared" si="2"/>
        <v>0</v>
      </c>
      <c r="AX61" s="559">
        <f t="shared" si="2"/>
        <v>0</v>
      </c>
      <c r="AY61" s="559">
        <f t="shared" si="2"/>
        <v>0</v>
      </c>
      <c r="AZ61" s="559">
        <f t="shared" si="2"/>
        <v>0</v>
      </c>
      <c r="BA61" s="559">
        <f t="shared" si="2"/>
        <v>0</v>
      </c>
      <c r="BB61" s="559">
        <f t="shared" si="2"/>
        <v>0</v>
      </c>
      <c r="BC61" s="559">
        <f t="shared" si="2"/>
        <v>0</v>
      </c>
      <c r="BD61" s="559">
        <f t="shared" si="2"/>
        <v>0</v>
      </c>
      <c r="BE61" s="559">
        <f t="shared" si="2"/>
        <v>0</v>
      </c>
      <c r="BF61" s="192"/>
    </row>
    <row r="62" spans="2:58" ht="27" thickBot="1" thickTop="1">
      <c r="B62" s="57"/>
      <c r="C62" s="65"/>
      <c r="D62" s="65"/>
      <c r="E62" s="65"/>
      <c r="F62" s="65"/>
      <c r="G62" s="8" t="s">
        <v>118</v>
      </c>
      <c r="H62" s="559">
        <f>IF(ISERROR(H63*((1-H65)*(1-H64)+(H65*(1-H66)))),"",H63*((1-H65)*(1-H64)+(H65*(1-H66))))</f>
        <v>0</v>
      </c>
      <c r="I62" s="559">
        <f aca="true" t="shared" si="3" ref="I62:BE62">IF(ISERROR(I63*((1-I65)*(1-I64)+(I65*(1-I66)))),"",I63*((1-I65)*(1-I64)+(I65*(1-I66))))</f>
        <v>0</v>
      </c>
      <c r="J62" s="559">
        <f t="shared" si="3"/>
        <v>0</v>
      </c>
      <c r="K62" s="559">
        <f t="shared" si="3"/>
        <v>0</v>
      </c>
      <c r="L62" s="559">
        <f t="shared" si="3"/>
        <v>0</v>
      </c>
      <c r="M62" s="559">
        <f t="shared" si="3"/>
        <v>0</v>
      </c>
      <c r="N62" s="559">
        <f t="shared" si="3"/>
        <v>0</v>
      </c>
      <c r="O62" s="559">
        <f t="shared" si="3"/>
        <v>0</v>
      </c>
      <c r="P62" s="559">
        <f t="shared" si="3"/>
        <v>0</v>
      </c>
      <c r="Q62" s="559">
        <f t="shared" si="3"/>
        <v>0</v>
      </c>
      <c r="R62" s="559">
        <f t="shared" si="3"/>
        <v>0</v>
      </c>
      <c r="S62" s="559">
        <f t="shared" si="3"/>
        <v>0</v>
      </c>
      <c r="T62" s="559">
        <f t="shared" si="3"/>
        <v>0</v>
      </c>
      <c r="U62" s="559">
        <f t="shared" si="3"/>
        <v>0</v>
      </c>
      <c r="V62" s="559">
        <f t="shared" si="3"/>
        <v>0</v>
      </c>
      <c r="W62" s="559">
        <f t="shared" si="3"/>
        <v>0</v>
      </c>
      <c r="X62" s="559">
        <f t="shared" si="3"/>
        <v>0</v>
      </c>
      <c r="Y62" s="559">
        <f t="shared" si="3"/>
        <v>0</v>
      </c>
      <c r="Z62" s="559">
        <f t="shared" si="3"/>
        <v>0</v>
      </c>
      <c r="AA62" s="559">
        <f t="shared" si="3"/>
        <v>0</v>
      </c>
      <c r="AB62" s="559">
        <f t="shared" si="3"/>
        <v>0</v>
      </c>
      <c r="AC62" s="559">
        <f t="shared" si="3"/>
        <v>0</v>
      </c>
      <c r="AD62" s="559">
        <f t="shared" si="3"/>
        <v>0</v>
      </c>
      <c r="AE62" s="559">
        <f t="shared" si="3"/>
        <v>0</v>
      </c>
      <c r="AF62" s="559">
        <f t="shared" si="3"/>
        <v>0</v>
      </c>
      <c r="AG62" s="559">
        <f t="shared" si="3"/>
        <v>0</v>
      </c>
      <c r="AH62" s="559">
        <f t="shared" si="3"/>
        <v>0</v>
      </c>
      <c r="AI62" s="559">
        <f t="shared" si="3"/>
        <v>0</v>
      </c>
      <c r="AJ62" s="559">
        <f t="shared" si="3"/>
        <v>0</v>
      </c>
      <c r="AK62" s="559">
        <f t="shared" si="3"/>
        <v>0</v>
      </c>
      <c r="AL62" s="559">
        <f t="shared" si="3"/>
        <v>0</v>
      </c>
      <c r="AM62" s="559">
        <f t="shared" si="3"/>
        <v>0</v>
      </c>
      <c r="AN62" s="559">
        <f t="shared" si="3"/>
        <v>0</v>
      </c>
      <c r="AO62" s="559">
        <f t="shared" si="3"/>
        <v>0</v>
      </c>
      <c r="AP62" s="559">
        <f t="shared" si="3"/>
        <v>0</v>
      </c>
      <c r="AQ62" s="559">
        <f t="shared" si="3"/>
        <v>0</v>
      </c>
      <c r="AR62" s="559">
        <f t="shared" si="3"/>
        <v>0</v>
      </c>
      <c r="AS62" s="559">
        <f t="shared" si="3"/>
        <v>0</v>
      </c>
      <c r="AT62" s="559">
        <f t="shared" si="3"/>
        <v>0</v>
      </c>
      <c r="AU62" s="559">
        <f t="shared" si="3"/>
        <v>0</v>
      </c>
      <c r="AV62" s="559">
        <f t="shared" si="3"/>
        <v>0</v>
      </c>
      <c r="AW62" s="559">
        <f t="shared" si="3"/>
        <v>0</v>
      </c>
      <c r="AX62" s="559">
        <f t="shared" si="3"/>
        <v>0</v>
      </c>
      <c r="AY62" s="559">
        <f t="shared" si="3"/>
        <v>0</v>
      </c>
      <c r="AZ62" s="559">
        <f t="shared" si="3"/>
        <v>0</v>
      </c>
      <c r="BA62" s="559">
        <f t="shared" si="3"/>
        <v>0</v>
      </c>
      <c r="BB62" s="559">
        <f t="shared" si="3"/>
        <v>0</v>
      </c>
      <c r="BC62" s="559">
        <f t="shared" si="3"/>
        <v>0</v>
      </c>
      <c r="BD62" s="559">
        <f t="shared" si="3"/>
        <v>0</v>
      </c>
      <c r="BE62" s="559">
        <f t="shared" si="3"/>
        <v>0</v>
      </c>
      <c r="BF62" s="192"/>
    </row>
    <row r="63" spans="2:58" ht="52.5" thickBot="1" thickTop="1">
      <c r="B63" s="57"/>
      <c r="C63" s="65"/>
      <c r="D63" s="65"/>
      <c r="E63" s="65"/>
      <c r="F63" s="65"/>
      <c r="G63" s="164" t="s">
        <v>115</v>
      </c>
      <c r="H63" s="559">
        <f>IF(ISERROR(SUM(H$67:H$116)),"",SUM(H$67:H$116))</f>
        <v>0</v>
      </c>
      <c r="I63" s="559">
        <f aca="true" t="shared" si="4" ref="I63:BE63">IF(ISERROR(SUM(I$67:I$116)),"",SUM(I$67:I$116))</f>
        <v>0</v>
      </c>
      <c r="J63" s="559">
        <f t="shared" si="4"/>
        <v>0</v>
      </c>
      <c r="K63" s="559">
        <f t="shared" si="4"/>
        <v>0</v>
      </c>
      <c r="L63" s="559">
        <f t="shared" si="4"/>
        <v>0</v>
      </c>
      <c r="M63" s="559">
        <f t="shared" si="4"/>
        <v>0</v>
      </c>
      <c r="N63" s="559">
        <f t="shared" si="4"/>
        <v>0</v>
      </c>
      <c r="O63" s="559">
        <f t="shared" si="4"/>
        <v>0</v>
      </c>
      <c r="P63" s="559">
        <f t="shared" si="4"/>
        <v>0</v>
      </c>
      <c r="Q63" s="559">
        <f t="shared" si="4"/>
        <v>0</v>
      </c>
      <c r="R63" s="559">
        <f t="shared" si="4"/>
        <v>0</v>
      </c>
      <c r="S63" s="559">
        <f t="shared" si="4"/>
        <v>0</v>
      </c>
      <c r="T63" s="559">
        <f t="shared" si="4"/>
        <v>0</v>
      </c>
      <c r="U63" s="559">
        <f t="shared" si="4"/>
        <v>0</v>
      </c>
      <c r="V63" s="559">
        <f t="shared" si="4"/>
        <v>0</v>
      </c>
      <c r="W63" s="559">
        <f t="shared" si="4"/>
        <v>0</v>
      </c>
      <c r="X63" s="559">
        <f t="shared" si="4"/>
        <v>0</v>
      </c>
      <c r="Y63" s="559">
        <f t="shared" si="4"/>
        <v>0</v>
      </c>
      <c r="Z63" s="559">
        <f t="shared" si="4"/>
        <v>0</v>
      </c>
      <c r="AA63" s="559">
        <f t="shared" si="4"/>
        <v>0</v>
      </c>
      <c r="AB63" s="559">
        <f t="shared" si="4"/>
        <v>0</v>
      </c>
      <c r="AC63" s="559">
        <f t="shared" si="4"/>
        <v>0</v>
      </c>
      <c r="AD63" s="559">
        <f t="shared" si="4"/>
        <v>0</v>
      </c>
      <c r="AE63" s="559">
        <f t="shared" si="4"/>
        <v>0</v>
      </c>
      <c r="AF63" s="559">
        <f t="shared" si="4"/>
        <v>0</v>
      </c>
      <c r="AG63" s="559">
        <f t="shared" si="4"/>
        <v>0</v>
      </c>
      <c r="AH63" s="559">
        <f t="shared" si="4"/>
        <v>0</v>
      </c>
      <c r="AI63" s="559">
        <f t="shared" si="4"/>
        <v>0</v>
      </c>
      <c r="AJ63" s="559">
        <f t="shared" si="4"/>
        <v>0</v>
      </c>
      <c r="AK63" s="559">
        <f t="shared" si="4"/>
        <v>0</v>
      </c>
      <c r="AL63" s="559">
        <f t="shared" si="4"/>
        <v>0</v>
      </c>
      <c r="AM63" s="559">
        <f t="shared" si="4"/>
        <v>0</v>
      </c>
      <c r="AN63" s="559">
        <f t="shared" si="4"/>
        <v>0</v>
      </c>
      <c r="AO63" s="559">
        <f t="shared" si="4"/>
        <v>0</v>
      </c>
      <c r="AP63" s="559">
        <f t="shared" si="4"/>
        <v>0</v>
      </c>
      <c r="AQ63" s="559">
        <f t="shared" si="4"/>
        <v>0</v>
      </c>
      <c r="AR63" s="559">
        <f t="shared" si="4"/>
        <v>0</v>
      </c>
      <c r="AS63" s="559">
        <f t="shared" si="4"/>
        <v>0</v>
      </c>
      <c r="AT63" s="559">
        <f t="shared" si="4"/>
        <v>0</v>
      </c>
      <c r="AU63" s="559">
        <f t="shared" si="4"/>
        <v>0</v>
      </c>
      <c r="AV63" s="559">
        <f t="shared" si="4"/>
        <v>0</v>
      </c>
      <c r="AW63" s="559">
        <f t="shared" si="4"/>
        <v>0</v>
      </c>
      <c r="AX63" s="559">
        <f t="shared" si="4"/>
        <v>0</v>
      </c>
      <c r="AY63" s="559">
        <f t="shared" si="4"/>
        <v>0</v>
      </c>
      <c r="AZ63" s="559">
        <f t="shared" si="4"/>
        <v>0</v>
      </c>
      <c r="BA63" s="559">
        <f t="shared" si="4"/>
        <v>0</v>
      </c>
      <c r="BB63" s="559">
        <f t="shared" si="4"/>
        <v>0</v>
      </c>
      <c r="BC63" s="559">
        <f t="shared" si="4"/>
        <v>0</v>
      </c>
      <c r="BD63" s="559">
        <f t="shared" si="4"/>
        <v>0</v>
      </c>
      <c r="BE63" s="559">
        <f t="shared" si="4"/>
        <v>0</v>
      </c>
      <c r="BF63" s="192"/>
    </row>
    <row r="64" spans="2:58" ht="65.25" thickBot="1" thickTop="1">
      <c r="B64" s="67"/>
      <c r="C64" s="65"/>
      <c r="D64" s="600" t="s">
        <v>502</v>
      </c>
      <c r="E64" s="65"/>
      <c r="F64" s="65"/>
      <c r="G64" s="5" t="s">
        <v>527</v>
      </c>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3"/>
      <c r="AY64" s="653"/>
      <c r="AZ64" s="653"/>
      <c r="BA64" s="653"/>
      <c r="BB64" s="653"/>
      <c r="BC64" s="653"/>
      <c r="BD64" s="653"/>
      <c r="BE64" s="653"/>
      <c r="BF64" s="192"/>
    </row>
    <row r="65" spans="2:58" ht="27" thickBot="1" thickTop="1">
      <c r="B65" s="57"/>
      <c r="C65" s="65"/>
      <c r="D65" s="65"/>
      <c r="E65" s="65"/>
      <c r="F65" s="65"/>
      <c r="G65" s="5" t="s">
        <v>580</v>
      </c>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c r="AK65" s="653"/>
      <c r="AL65" s="653"/>
      <c r="AM65" s="653"/>
      <c r="AN65" s="653"/>
      <c r="AO65" s="653"/>
      <c r="AP65" s="653"/>
      <c r="AQ65" s="653"/>
      <c r="AR65" s="653"/>
      <c r="AS65" s="653"/>
      <c r="AT65" s="653"/>
      <c r="AU65" s="653"/>
      <c r="AV65" s="653"/>
      <c r="AW65" s="653"/>
      <c r="AX65" s="653"/>
      <c r="AY65" s="653"/>
      <c r="AZ65" s="653"/>
      <c r="BA65" s="653"/>
      <c r="BB65" s="653"/>
      <c r="BC65" s="653"/>
      <c r="BD65" s="653"/>
      <c r="BE65" s="653"/>
      <c r="BF65" s="192"/>
    </row>
    <row r="66" spans="2:58" ht="79.5" thickBot="1" thickTop="1">
      <c r="B66" s="57"/>
      <c r="C66" s="8" t="s">
        <v>536</v>
      </c>
      <c r="D66" s="8" t="s">
        <v>488</v>
      </c>
      <c r="E66" s="8" t="s">
        <v>489</v>
      </c>
      <c r="F66" s="8" t="s">
        <v>416</v>
      </c>
      <c r="G66" s="566" t="s">
        <v>593</v>
      </c>
      <c r="H66" s="662"/>
      <c r="I66" s="662"/>
      <c r="J66" s="662"/>
      <c r="K66" s="662"/>
      <c r="L66" s="662"/>
      <c r="M66" s="662"/>
      <c r="N66" s="662"/>
      <c r="O66" s="662"/>
      <c r="P66" s="662"/>
      <c r="Q66" s="662"/>
      <c r="R66" s="662"/>
      <c r="S66" s="662"/>
      <c r="T66" s="662"/>
      <c r="U66" s="662"/>
      <c r="V66" s="662"/>
      <c r="W66" s="662"/>
      <c r="X66" s="662"/>
      <c r="Y66" s="662"/>
      <c r="Z66" s="662"/>
      <c r="AA66" s="662"/>
      <c r="AB66" s="662"/>
      <c r="AC66" s="662"/>
      <c r="AD66" s="662"/>
      <c r="AE66" s="662"/>
      <c r="AF66" s="662"/>
      <c r="AG66" s="662"/>
      <c r="AH66" s="662"/>
      <c r="AI66" s="662"/>
      <c r="AJ66" s="662"/>
      <c r="AK66" s="662"/>
      <c r="AL66" s="662"/>
      <c r="AM66" s="662"/>
      <c r="AN66" s="662"/>
      <c r="AO66" s="662"/>
      <c r="AP66" s="662"/>
      <c r="AQ66" s="662"/>
      <c r="AR66" s="662"/>
      <c r="AS66" s="662"/>
      <c r="AT66" s="662"/>
      <c r="AU66" s="662"/>
      <c r="AV66" s="662"/>
      <c r="AW66" s="662"/>
      <c r="AX66" s="662"/>
      <c r="AY66" s="662"/>
      <c r="AZ66" s="662"/>
      <c r="BA66" s="662"/>
      <c r="BB66" s="662"/>
      <c r="BC66" s="662"/>
      <c r="BD66" s="662"/>
      <c r="BE66" s="662"/>
      <c r="BF66" s="192"/>
    </row>
    <row r="67" spans="2:58" ht="18.75" customHeight="1" thickBot="1" thickTop="1">
      <c r="B67" s="57"/>
      <c r="C67" s="571">
        <f>+IF(H$59&lt;=$G$55,H$59,"")</f>
      </c>
      <c r="D67" s="663"/>
      <c r="E67" s="664"/>
      <c r="F67" s="665"/>
      <c r="G67" s="560"/>
      <c r="H67" s="561">
        <f aca="true" t="shared" si="5" ref="H67:AM67">IF(ISERROR($F67*$E67*EXP(-$F67*(H$59-$C67+0.5))*$D67),"",$F67*$E67*EXP(-$F67*(H$59-$C67+0.5))*$D67)</f>
      </c>
      <c r="I67" s="561">
        <f t="shared" si="5"/>
      </c>
      <c r="J67" s="561">
        <f t="shared" si="5"/>
      </c>
      <c r="K67" s="561">
        <f t="shared" si="5"/>
      </c>
      <c r="L67" s="561">
        <f t="shared" si="5"/>
      </c>
      <c r="M67" s="561">
        <f t="shared" si="5"/>
      </c>
      <c r="N67" s="561">
        <f t="shared" si="5"/>
      </c>
      <c r="O67" s="561">
        <f t="shared" si="5"/>
      </c>
      <c r="P67" s="561">
        <f t="shared" si="5"/>
      </c>
      <c r="Q67" s="561">
        <f t="shared" si="5"/>
      </c>
      <c r="R67" s="561">
        <f t="shared" si="5"/>
      </c>
      <c r="S67" s="561">
        <f t="shared" si="5"/>
      </c>
      <c r="T67" s="561">
        <f t="shared" si="5"/>
      </c>
      <c r="U67" s="561">
        <f t="shared" si="5"/>
      </c>
      <c r="V67" s="561">
        <f t="shared" si="5"/>
      </c>
      <c r="W67" s="561">
        <f t="shared" si="5"/>
      </c>
      <c r="X67" s="561">
        <f t="shared" si="5"/>
      </c>
      <c r="Y67" s="561">
        <f t="shared" si="5"/>
      </c>
      <c r="Z67" s="561">
        <f t="shared" si="5"/>
      </c>
      <c r="AA67" s="561">
        <f t="shared" si="5"/>
      </c>
      <c r="AB67" s="561">
        <f t="shared" si="5"/>
      </c>
      <c r="AC67" s="561">
        <f t="shared" si="5"/>
      </c>
      <c r="AD67" s="561">
        <f t="shared" si="5"/>
      </c>
      <c r="AE67" s="561">
        <f t="shared" si="5"/>
      </c>
      <c r="AF67" s="561">
        <f t="shared" si="5"/>
      </c>
      <c r="AG67" s="561">
        <f t="shared" si="5"/>
      </c>
      <c r="AH67" s="561">
        <f t="shared" si="5"/>
      </c>
      <c r="AI67" s="561">
        <f t="shared" si="5"/>
      </c>
      <c r="AJ67" s="561">
        <f t="shared" si="5"/>
      </c>
      <c r="AK67" s="561">
        <f t="shared" si="5"/>
      </c>
      <c r="AL67" s="561">
        <f t="shared" si="5"/>
      </c>
      <c r="AM67" s="561">
        <f t="shared" si="5"/>
      </c>
      <c r="AN67" s="561">
        <f aca="true" t="shared" si="6" ref="AN67:BE67">IF(ISERROR($F67*$E67*EXP(-$F67*(AN$59-$C67+0.5))*$D67),"",$F67*$E67*EXP(-$F67*(AN$59-$C67+0.5))*$D67)</f>
      </c>
      <c r="AO67" s="561">
        <f t="shared" si="6"/>
      </c>
      <c r="AP67" s="561">
        <f t="shared" si="6"/>
      </c>
      <c r="AQ67" s="561">
        <f t="shared" si="6"/>
      </c>
      <c r="AR67" s="561">
        <f t="shared" si="6"/>
      </c>
      <c r="AS67" s="561">
        <f t="shared" si="6"/>
      </c>
      <c r="AT67" s="561">
        <f t="shared" si="6"/>
      </c>
      <c r="AU67" s="561">
        <f t="shared" si="6"/>
      </c>
      <c r="AV67" s="561">
        <f t="shared" si="6"/>
      </c>
      <c r="AW67" s="561">
        <f t="shared" si="6"/>
      </c>
      <c r="AX67" s="561">
        <f t="shared" si="6"/>
      </c>
      <c r="AY67" s="561">
        <f t="shared" si="6"/>
      </c>
      <c r="AZ67" s="561">
        <f t="shared" si="6"/>
      </c>
      <c r="BA67" s="561">
        <f t="shared" si="6"/>
      </c>
      <c r="BB67" s="561">
        <f t="shared" si="6"/>
      </c>
      <c r="BC67" s="561">
        <f t="shared" si="6"/>
      </c>
      <c r="BD67" s="561">
        <f t="shared" si="6"/>
      </c>
      <c r="BE67" s="561">
        <f t="shared" si="6"/>
      </c>
      <c r="BF67" s="192"/>
    </row>
    <row r="68" spans="2:58" ht="18" customHeight="1" thickBot="1" thickTop="1">
      <c r="B68" s="57"/>
      <c r="C68" s="571">
        <f>+IF(I$59&lt;=$G$55,I$59,"")</f>
      </c>
      <c r="D68" s="663"/>
      <c r="E68" s="664"/>
      <c r="F68" s="665"/>
      <c r="G68" s="560"/>
      <c r="H68" s="562"/>
      <c r="I68" s="561">
        <f aca="true" t="shared" si="7" ref="I68:AC68">IF(ISERROR($F68*$E68*EXP(-$F68*(I$59-$C68+0.5))*$D68),"",$F68*$E68*EXP(-$F68*(I$59-$C68+0.5))*$D68)</f>
      </c>
      <c r="J68" s="561">
        <f t="shared" si="7"/>
      </c>
      <c r="K68" s="561">
        <f t="shared" si="7"/>
      </c>
      <c r="L68" s="561">
        <f t="shared" si="7"/>
      </c>
      <c r="M68" s="561">
        <f t="shared" si="7"/>
      </c>
      <c r="N68" s="561">
        <f t="shared" si="7"/>
      </c>
      <c r="O68" s="561">
        <f t="shared" si="7"/>
      </c>
      <c r="P68" s="561">
        <f t="shared" si="7"/>
      </c>
      <c r="Q68" s="561">
        <f t="shared" si="7"/>
      </c>
      <c r="R68" s="561">
        <f t="shared" si="7"/>
      </c>
      <c r="S68" s="561">
        <f t="shared" si="7"/>
      </c>
      <c r="T68" s="561">
        <f t="shared" si="7"/>
      </c>
      <c r="U68" s="561">
        <f t="shared" si="7"/>
      </c>
      <c r="V68" s="561">
        <f t="shared" si="7"/>
      </c>
      <c r="W68" s="561">
        <f t="shared" si="7"/>
      </c>
      <c r="X68" s="561">
        <f t="shared" si="7"/>
      </c>
      <c r="Y68" s="561">
        <f t="shared" si="7"/>
      </c>
      <c r="Z68" s="561">
        <f t="shared" si="7"/>
      </c>
      <c r="AA68" s="561">
        <f t="shared" si="7"/>
      </c>
      <c r="AB68" s="561">
        <f t="shared" si="7"/>
      </c>
      <c r="AC68" s="561">
        <f t="shared" si="7"/>
      </c>
      <c r="AD68" s="561">
        <f aca="true" t="shared" si="8" ref="AD68:AS68">IF(ISERROR($F68*$E68*EXP(-$F68*(AD$59-$C68+0.5))*$D68),"",$F68*$E68*EXP(-$F68*(AD$59-$C68+0.5))*$D68)</f>
      </c>
      <c r="AE68" s="561">
        <f t="shared" si="8"/>
      </c>
      <c r="AF68" s="561">
        <f t="shared" si="8"/>
      </c>
      <c r="AG68" s="561">
        <f t="shared" si="8"/>
      </c>
      <c r="AH68" s="561">
        <f t="shared" si="8"/>
      </c>
      <c r="AI68" s="561">
        <f t="shared" si="8"/>
      </c>
      <c r="AJ68" s="561">
        <f t="shared" si="8"/>
      </c>
      <c r="AK68" s="561">
        <f t="shared" si="8"/>
      </c>
      <c r="AL68" s="561">
        <f t="shared" si="8"/>
      </c>
      <c r="AM68" s="561">
        <f t="shared" si="8"/>
      </c>
      <c r="AN68" s="561">
        <f t="shared" si="8"/>
      </c>
      <c r="AO68" s="561">
        <f t="shared" si="8"/>
      </c>
      <c r="AP68" s="561">
        <f t="shared" si="8"/>
      </c>
      <c r="AQ68" s="561">
        <f t="shared" si="8"/>
      </c>
      <c r="AR68" s="561">
        <f t="shared" si="8"/>
      </c>
      <c r="AS68" s="561">
        <f t="shared" si="8"/>
      </c>
      <c r="AT68" s="561">
        <f aca="true" t="shared" si="9" ref="AL68:AV86">IF(ISERROR($F68*$E68*EXP(-$F68*(AT$59-$C68+0.5))*$D68),"",$F68*$E68*EXP(-$F68*(AT$59-$C68+0.5))*$D68)</f>
      </c>
      <c r="AU68" s="561">
        <f t="shared" si="9"/>
      </c>
      <c r="AV68" s="561">
        <f t="shared" si="9"/>
      </c>
      <c r="AW68" s="561">
        <f aca="true" t="shared" si="10" ref="AW68:BE86">IF(ISERROR($F68*$E68*EXP(-$F68*(AW$59-$C68+0.5))*$D68),"",$F68*$E68*EXP(-$F68*(AW$59-$C68+0.5))*$D68)</f>
      </c>
      <c r="AX68" s="561">
        <f t="shared" si="10"/>
      </c>
      <c r="AY68" s="561">
        <f t="shared" si="10"/>
      </c>
      <c r="AZ68" s="561">
        <f t="shared" si="10"/>
      </c>
      <c r="BA68" s="561">
        <f t="shared" si="10"/>
      </c>
      <c r="BB68" s="561">
        <f t="shared" si="10"/>
      </c>
      <c r="BC68" s="561">
        <f t="shared" si="10"/>
      </c>
      <c r="BD68" s="561">
        <f t="shared" si="10"/>
      </c>
      <c r="BE68" s="561">
        <f t="shared" si="10"/>
      </c>
      <c r="BF68" s="192"/>
    </row>
    <row r="69" spans="2:58" ht="20.25" customHeight="1" thickBot="1" thickTop="1">
      <c r="B69" s="57"/>
      <c r="C69" s="571">
        <f>+IF(J$59&lt;=$G$55,J$59,"")</f>
      </c>
      <c r="D69" s="663"/>
      <c r="E69" s="664"/>
      <c r="F69" s="665"/>
      <c r="G69" s="560"/>
      <c r="H69" s="562"/>
      <c r="I69" s="562"/>
      <c r="J69" s="561">
        <f aca="true" t="shared" si="11" ref="J69:AC69">IF(ISERROR($F69*$E69*EXP(-$F69*(J$59-$C69+0.5))*$D69),"",$F69*$E69*EXP(-$F69*(J$59-$C69+0.5))*$D69)</f>
      </c>
      <c r="K69" s="561">
        <f t="shared" si="11"/>
      </c>
      <c r="L69" s="561">
        <f t="shared" si="11"/>
      </c>
      <c r="M69" s="561">
        <f t="shared" si="11"/>
      </c>
      <c r="N69" s="561">
        <f t="shared" si="11"/>
      </c>
      <c r="O69" s="561">
        <f t="shared" si="11"/>
      </c>
      <c r="P69" s="561">
        <f t="shared" si="11"/>
      </c>
      <c r="Q69" s="561">
        <f t="shared" si="11"/>
      </c>
      <c r="R69" s="561">
        <f t="shared" si="11"/>
      </c>
      <c r="S69" s="561">
        <f t="shared" si="11"/>
      </c>
      <c r="T69" s="561">
        <f t="shared" si="11"/>
      </c>
      <c r="U69" s="561">
        <f t="shared" si="11"/>
      </c>
      <c r="V69" s="561">
        <f t="shared" si="11"/>
      </c>
      <c r="W69" s="561">
        <f t="shared" si="11"/>
      </c>
      <c r="X69" s="561">
        <f t="shared" si="11"/>
      </c>
      <c r="Y69" s="561">
        <f t="shared" si="11"/>
      </c>
      <c r="Z69" s="561">
        <f t="shared" si="11"/>
      </c>
      <c r="AA69" s="561">
        <f t="shared" si="11"/>
      </c>
      <c r="AB69" s="561">
        <f t="shared" si="11"/>
      </c>
      <c r="AC69" s="561">
        <f t="shared" si="11"/>
      </c>
      <c r="AD69" s="561">
        <f aca="true" t="shared" si="12" ref="AD69:AK78">IF(ISERROR($F69*$E69*EXP(-$F69*(AD$59-$C69+0.5))*$D69),"",$F69*$E69*EXP(-$F69*(AD$59-$C69+0.5))*$D69)</f>
      </c>
      <c r="AE69" s="561">
        <f t="shared" si="12"/>
      </c>
      <c r="AF69" s="561">
        <f t="shared" si="12"/>
      </c>
      <c r="AG69" s="561">
        <f t="shared" si="12"/>
      </c>
      <c r="AH69" s="561">
        <f t="shared" si="12"/>
      </c>
      <c r="AI69" s="561">
        <f t="shared" si="12"/>
      </c>
      <c r="AJ69" s="561">
        <f t="shared" si="12"/>
      </c>
      <c r="AK69" s="561">
        <f t="shared" si="12"/>
      </c>
      <c r="AL69" s="561">
        <f t="shared" si="9"/>
      </c>
      <c r="AM69" s="561">
        <f t="shared" si="9"/>
      </c>
      <c r="AN69" s="561">
        <f t="shared" si="9"/>
      </c>
      <c r="AO69" s="561">
        <f t="shared" si="9"/>
      </c>
      <c r="AP69" s="561">
        <f t="shared" si="9"/>
      </c>
      <c r="AQ69" s="561">
        <f t="shared" si="9"/>
      </c>
      <c r="AR69" s="561">
        <f t="shared" si="9"/>
      </c>
      <c r="AS69" s="561">
        <f t="shared" si="9"/>
      </c>
      <c r="AT69" s="561">
        <f t="shared" si="9"/>
      </c>
      <c r="AU69" s="561">
        <f t="shared" si="9"/>
      </c>
      <c r="AV69" s="561">
        <f t="shared" si="9"/>
      </c>
      <c r="AW69" s="561">
        <f t="shared" si="10"/>
      </c>
      <c r="AX69" s="561">
        <f t="shared" si="10"/>
      </c>
      <c r="AY69" s="561">
        <f t="shared" si="10"/>
      </c>
      <c r="AZ69" s="561">
        <f t="shared" si="10"/>
      </c>
      <c r="BA69" s="561">
        <f t="shared" si="10"/>
      </c>
      <c r="BB69" s="561">
        <f t="shared" si="10"/>
      </c>
      <c r="BC69" s="561">
        <f t="shared" si="10"/>
      </c>
      <c r="BD69" s="561">
        <f t="shared" si="10"/>
      </c>
      <c r="BE69" s="561">
        <f t="shared" si="10"/>
      </c>
      <c r="BF69" s="192"/>
    </row>
    <row r="70" spans="2:58" ht="21" customHeight="1" thickBot="1" thickTop="1">
      <c r="B70" s="57"/>
      <c r="C70" s="571">
        <f>+IF(K$59&lt;=$G$55,K$59,"")</f>
      </c>
      <c r="D70" s="663"/>
      <c r="E70" s="664"/>
      <c r="F70" s="665"/>
      <c r="G70" s="560"/>
      <c r="H70" s="562"/>
      <c r="I70" s="562"/>
      <c r="J70" s="562"/>
      <c r="K70" s="561">
        <f aca="true" t="shared" si="13" ref="K70:AC70">IF(ISERROR($F70*$E70*EXP(-$F70*(K$59-$C70+0.5))*$D70),"",$F70*$E70*EXP(-$F70*(K$59-$C70+0.5))*$D70)</f>
      </c>
      <c r="L70" s="561">
        <f t="shared" si="13"/>
      </c>
      <c r="M70" s="561">
        <f t="shared" si="13"/>
      </c>
      <c r="N70" s="561">
        <f t="shared" si="13"/>
      </c>
      <c r="O70" s="561">
        <f t="shared" si="13"/>
      </c>
      <c r="P70" s="561">
        <f t="shared" si="13"/>
      </c>
      <c r="Q70" s="561">
        <f t="shared" si="13"/>
      </c>
      <c r="R70" s="561">
        <f t="shared" si="13"/>
      </c>
      <c r="S70" s="561">
        <f t="shared" si="13"/>
      </c>
      <c r="T70" s="561">
        <f t="shared" si="13"/>
      </c>
      <c r="U70" s="561">
        <f t="shared" si="13"/>
      </c>
      <c r="V70" s="561">
        <f t="shared" si="13"/>
      </c>
      <c r="W70" s="561">
        <f t="shared" si="13"/>
      </c>
      <c r="X70" s="561">
        <f t="shared" si="13"/>
      </c>
      <c r="Y70" s="561">
        <f t="shared" si="13"/>
      </c>
      <c r="Z70" s="561">
        <f t="shared" si="13"/>
      </c>
      <c r="AA70" s="561">
        <f t="shared" si="13"/>
      </c>
      <c r="AB70" s="561">
        <f t="shared" si="13"/>
      </c>
      <c r="AC70" s="561">
        <f t="shared" si="13"/>
      </c>
      <c r="AD70" s="561">
        <f t="shared" si="12"/>
      </c>
      <c r="AE70" s="561">
        <f t="shared" si="12"/>
      </c>
      <c r="AF70" s="561">
        <f t="shared" si="12"/>
      </c>
      <c r="AG70" s="561">
        <f t="shared" si="12"/>
      </c>
      <c r="AH70" s="561">
        <f t="shared" si="12"/>
      </c>
      <c r="AI70" s="561">
        <f t="shared" si="12"/>
      </c>
      <c r="AJ70" s="561">
        <f t="shared" si="12"/>
      </c>
      <c r="AK70" s="561">
        <f t="shared" si="12"/>
      </c>
      <c r="AL70" s="561">
        <f t="shared" si="9"/>
      </c>
      <c r="AM70" s="561">
        <f t="shared" si="9"/>
      </c>
      <c r="AN70" s="561">
        <f t="shared" si="9"/>
      </c>
      <c r="AO70" s="561">
        <f t="shared" si="9"/>
      </c>
      <c r="AP70" s="561">
        <f t="shared" si="9"/>
      </c>
      <c r="AQ70" s="561">
        <f t="shared" si="9"/>
      </c>
      <c r="AR70" s="561">
        <f t="shared" si="9"/>
      </c>
      <c r="AS70" s="561">
        <f t="shared" si="9"/>
      </c>
      <c r="AT70" s="561">
        <f t="shared" si="9"/>
      </c>
      <c r="AU70" s="561">
        <f t="shared" si="9"/>
      </c>
      <c r="AV70" s="561">
        <f t="shared" si="9"/>
      </c>
      <c r="AW70" s="561">
        <f t="shared" si="10"/>
      </c>
      <c r="AX70" s="561">
        <f t="shared" si="10"/>
      </c>
      <c r="AY70" s="561">
        <f t="shared" si="10"/>
      </c>
      <c r="AZ70" s="561">
        <f t="shared" si="10"/>
      </c>
      <c r="BA70" s="561">
        <f t="shared" si="10"/>
      </c>
      <c r="BB70" s="561">
        <f t="shared" si="10"/>
      </c>
      <c r="BC70" s="561">
        <f t="shared" si="10"/>
      </c>
      <c r="BD70" s="561">
        <f t="shared" si="10"/>
      </c>
      <c r="BE70" s="561">
        <f t="shared" si="10"/>
      </c>
      <c r="BF70" s="192"/>
    </row>
    <row r="71" spans="2:58" ht="20.25" customHeight="1" thickBot="1" thickTop="1">
      <c r="B71" s="57"/>
      <c r="C71" s="571">
        <f>+IF(L$59&lt;=$G$55,L$59,"")</f>
      </c>
      <c r="D71" s="663"/>
      <c r="E71" s="664"/>
      <c r="F71" s="665"/>
      <c r="G71" s="560"/>
      <c r="H71" s="562"/>
      <c r="I71" s="562"/>
      <c r="J71" s="562"/>
      <c r="K71" s="562"/>
      <c r="L71" s="561">
        <f aca="true" t="shared" si="14" ref="L71:AC71">IF(ISERROR($F71*$E71*EXP(-$F71*(L$59-$C71+0.5))*$D71),"",$F71*$E71*EXP(-$F71*(L$59-$C71+0.5))*$D71)</f>
      </c>
      <c r="M71" s="561">
        <f t="shared" si="14"/>
      </c>
      <c r="N71" s="561">
        <f t="shared" si="14"/>
      </c>
      <c r="O71" s="561">
        <f t="shared" si="14"/>
      </c>
      <c r="P71" s="561">
        <f t="shared" si="14"/>
      </c>
      <c r="Q71" s="561">
        <f t="shared" si="14"/>
      </c>
      <c r="R71" s="561">
        <f t="shared" si="14"/>
      </c>
      <c r="S71" s="561">
        <f t="shared" si="14"/>
      </c>
      <c r="T71" s="561">
        <f t="shared" si="14"/>
      </c>
      <c r="U71" s="561">
        <f t="shared" si="14"/>
      </c>
      <c r="V71" s="561">
        <f t="shared" si="14"/>
      </c>
      <c r="W71" s="561">
        <f t="shared" si="14"/>
      </c>
      <c r="X71" s="561">
        <f t="shared" si="14"/>
      </c>
      <c r="Y71" s="561">
        <f t="shared" si="14"/>
      </c>
      <c r="Z71" s="561">
        <f t="shared" si="14"/>
      </c>
      <c r="AA71" s="561">
        <f t="shared" si="14"/>
      </c>
      <c r="AB71" s="561">
        <f t="shared" si="14"/>
      </c>
      <c r="AC71" s="561">
        <f t="shared" si="14"/>
      </c>
      <c r="AD71" s="561">
        <f t="shared" si="12"/>
      </c>
      <c r="AE71" s="561">
        <f t="shared" si="12"/>
      </c>
      <c r="AF71" s="561">
        <f t="shared" si="12"/>
      </c>
      <c r="AG71" s="561">
        <f t="shared" si="12"/>
      </c>
      <c r="AH71" s="561">
        <f t="shared" si="12"/>
      </c>
      <c r="AI71" s="561">
        <f t="shared" si="12"/>
      </c>
      <c r="AJ71" s="561">
        <f t="shared" si="12"/>
      </c>
      <c r="AK71" s="561">
        <f t="shared" si="12"/>
      </c>
      <c r="AL71" s="561">
        <f t="shared" si="9"/>
      </c>
      <c r="AM71" s="561">
        <f t="shared" si="9"/>
      </c>
      <c r="AN71" s="561">
        <f t="shared" si="9"/>
      </c>
      <c r="AO71" s="561">
        <f t="shared" si="9"/>
      </c>
      <c r="AP71" s="561">
        <f t="shared" si="9"/>
      </c>
      <c r="AQ71" s="561">
        <f t="shared" si="9"/>
      </c>
      <c r="AR71" s="561">
        <f t="shared" si="9"/>
      </c>
      <c r="AS71" s="561">
        <f t="shared" si="9"/>
      </c>
      <c r="AT71" s="561">
        <f t="shared" si="9"/>
      </c>
      <c r="AU71" s="561">
        <f t="shared" si="9"/>
      </c>
      <c r="AV71" s="561">
        <f t="shared" si="9"/>
      </c>
      <c r="AW71" s="561">
        <f t="shared" si="10"/>
      </c>
      <c r="AX71" s="561">
        <f t="shared" si="10"/>
      </c>
      <c r="AY71" s="561">
        <f t="shared" si="10"/>
      </c>
      <c r="AZ71" s="561">
        <f t="shared" si="10"/>
      </c>
      <c r="BA71" s="561">
        <f t="shared" si="10"/>
      </c>
      <c r="BB71" s="561">
        <f t="shared" si="10"/>
      </c>
      <c r="BC71" s="561">
        <f t="shared" si="10"/>
      </c>
      <c r="BD71" s="561">
        <f t="shared" si="10"/>
      </c>
      <c r="BE71" s="561">
        <f t="shared" si="10"/>
      </c>
      <c r="BF71" s="192"/>
    </row>
    <row r="72" spans="2:58" ht="18" customHeight="1" thickBot="1" thickTop="1">
      <c r="B72" s="78"/>
      <c r="C72" s="571">
        <f>+IF(M$59&lt;=$G$55,M$59,"")</f>
      </c>
      <c r="D72" s="663"/>
      <c r="E72" s="664"/>
      <c r="F72" s="665"/>
      <c r="G72" s="560"/>
      <c r="H72" s="562"/>
      <c r="I72" s="562"/>
      <c r="J72" s="562"/>
      <c r="K72" s="562"/>
      <c r="L72" s="562"/>
      <c r="M72" s="561">
        <f aca="true" t="shared" si="15" ref="M72:AC72">IF(ISERROR($F72*$E72*EXP(-$F72*(M$59-$C72+0.5))*$D72),"",$F72*$E72*EXP(-$F72*(M$59-$C72+0.5))*$D72)</f>
      </c>
      <c r="N72" s="561">
        <f t="shared" si="15"/>
      </c>
      <c r="O72" s="561">
        <f t="shared" si="15"/>
      </c>
      <c r="P72" s="561">
        <f t="shared" si="15"/>
      </c>
      <c r="Q72" s="561">
        <f t="shared" si="15"/>
      </c>
      <c r="R72" s="561">
        <f t="shared" si="15"/>
      </c>
      <c r="S72" s="561">
        <f t="shared" si="15"/>
      </c>
      <c r="T72" s="561">
        <f t="shared" si="15"/>
      </c>
      <c r="U72" s="561">
        <f t="shared" si="15"/>
      </c>
      <c r="V72" s="561">
        <f t="shared" si="15"/>
      </c>
      <c r="W72" s="561">
        <f t="shared" si="15"/>
      </c>
      <c r="X72" s="561">
        <f t="shared" si="15"/>
      </c>
      <c r="Y72" s="561">
        <f t="shared" si="15"/>
      </c>
      <c r="Z72" s="561">
        <f t="shared" si="15"/>
      </c>
      <c r="AA72" s="561">
        <f t="shared" si="15"/>
      </c>
      <c r="AB72" s="561">
        <f t="shared" si="15"/>
      </c>
      <c r="AC72" s="561">
        <f t="shared" si="15"/>
      </c>
      <c r="AD72" s="561">
        <f t="shared" si="12"/>
      </c>
      <c r="AE72" s="561">
        <f t="shared" si="12"/>
      </c>
      <c r="AF72" s="561">
        <f t="shared" si="12"/>
      </c>
      <c r="AG72" s="561">
        <f t="shared" si="12"/>
      </c>
      <c r="AH72" s="561">
        <f t="shared" si="12"/>
      </c>
      <c r="AI72" s="561">
        <f t="shared" si="12"/>
      </c>
      <c r="AJ72" s="561">
        <f t="shared" si="12"/>
      </c>
      <c r="AK72" s="561">
        <f t="shared" si="12"/>
      </c>
      <c r="AL72" s="561">
        <f t="shared" si="9"/>
      </c>
      <c r="AM72" s="561">
        <f t="shared" si="9"/>
      </c>
      <c r="AN72" s="561">
        <f t="shared" si="9"/>
      </c>
      <c r="AO72" s="561">
        <f t="shared" si="9"/>
      </c>
      <c r="AP72" s="561">
        <f t="shared" si="9"/>
      </c>
      <c r="AQ72" s="561">
        <f t="shared" si="9"/>
      </c>
      <c r="AR72" s="561">
        <f t="shared" si="9"/>
      </c>
      <c r="AS72" s="561">
        <f t="shared" si="9"/>
      </c>
      <c r="AT72" s="561">
        <f t="shared" si="9"/>
      </c>
      <c r="AU72" s="561">
        <f t="shared" si="9"/>
      </c>
      <c r="AV72" s="561">
        <f t="shared" si="9"/>
      </c>
      <c r="AW72" s="561">
        <f t="shared" si="10"/>
      </c>
      <c r="AX72" s="561">
        <f t="shared" si="10"/>
      </c>
      <c r="AY72" s="561">
        <f t="shared" si="10"/>
      </c>
      <c r="AZ72" s="561">
        <f t="shared" si="10"/>
      </c>
      <c r="BA72" s="561">
        <f t="shared" si="10"/>
      </c>
      <c r="BB72" s="561">
        <f t="shared" si="10"/>
      </c>
      <c r="BC72" s="561">
        <f t="shared" si="10"/>
      </c>
      <c r="BD72" s="561">
        <f t="shared" si="10"/>
      </c>
      <c r="BE72" s="561">
        <f t="shared" si="10"/>
      </c>
      <c r="BF72" s="192"/>
    </row>
    <row r="73" spans="2:58" ht="16.5" thickBot="1" thickTop="1">
      <c r="B73" s="78"/>
      <c r="C73" s="571">
        <f>+IF(N$59&lt;=$G$55,N$59,"")</f>
      </c>
      <c r="D73" s="663"/>
      <c r="E73" s="664"/>
      <c r="F73" s="665"/>
      <c r="G73" s="560"/>
      <c r="H73" s="562"/>
      <c r="I73" s="562"/>
      <c r="J73" s="562"/>
      <c r="K73" s="562"/>
      <c r="L73" s="562"/>
      <c r="M73" s="562"/>
      <c r="N73" s="561">
        <f aca="true" t="shared" si="16" ref="N73:AC73">IF(ISERROR($F73*$E73*EXP(-$F73*(N$59-$C73+0.5))*$D73),"",$F73*$E73*EXP(-$F73*(N$59-$C73+0.5))*$D73)</f>
      </c>
      <c r="O73" s="561">
        <f t="shared" si="16"/>
      </c>
      <c r="P73" s="561">
        <f t="shared" si="16"/>
      </c>
      <c r="Q73" s="561">
        <f t="shared" si="16"/>
      </c>
      <c r="R73" s="561">
        <f t="shared" si="16"/>
      </c>
      <c r="S73" s="561">
        <f t="shared" si="16"/>
      </c>
      <c r="T73" s="561">
        <f t="shared" si="16"/>
      </c>
      <c r="U73" s="561">
        <f t="shared" si="16"/>
      </c>
      <c r="V73" s="561">
        <f t="shared" si="16"/>
      </c>
      <c r="W73" s="561">
        <f t="shared" si="16"/>
      </c>
      <c r="X73" s="561">
        <f t="shared" si="16"/>
      </c>
      <c r="Y73" s="561">
        <f t="shared" si="16"/>
      </c>
      <c r="Z73" s="561">
        <f t="shared" si="16"/>
      </c>
      <c r="AA73" s="561">
        <f t="shared" si="16"/>
      </c>
      <c r="AB73" s="561">
        <f t="shared" si="16"/>
      </c>
      <c r="AC73" s="561">
        <f t="shared" si="16"/>
      </c>
      <c r="AD73" s="561">
        <f t="shared" si="12"/>
      </c>
      <c r="AE73" s="561">
        <f t="shared" si="12"/>
      </c>
      <c r="AF73" s="561">
        <f t="shared" si="12"/>
      </c>
      <c r="AG73" s="561">
        <f t="shared" si="12"/>
      </c>
      <c r="AH73" s="561">
        <f t="shared" si="12"/>
      </c>
      <c r="AI73" s="561">
        <f t="shared" si="12"/>
      </c>
      <c r="AJ73" s="561">
        <f t="shared" si="12"/>
      </c>
      <c r="AK73" s="561">
        <f t="shared" si="12"/>
      </c>
      <c r="AL73" s="561">
        <f t="shared" si="9"/>
      </c>
      <c r="AM73" s="561">
        <f t="shared" si="9"/>
      </c>
      <c r="AN73" s="561">
        <f t="shared" si="9"/>
      </c>
      <c r="AO73" s="561">
        <f t="shared" si="9"/>
      </c>
      <c r="AP73" s="561">
        <f t="shared" si="9"/>
      </c>
      <c r="AQ73" s="561">
        <f t="shared" si="9"/>
      </c>
      <c r="AR73" s="561">
        <f t="shared" si="9"/>
      </c>
      <c r="AS73" s="561">
        <f t="shared" si="9"/>
      </c>
      <c r="AT73" s="561">
        <f t="shared" si="9"/>
      </c>
      <c r="AU73" s="561">
        <f t="shared" si="9"/>
      </c>
      <c r="AV73" s="561">
        <f t="shared" si="9"/>
      </c>
      <c r="AW73" s="561">
        <f t="shared" si="10"/>
      </c>
      <c r="AX73" s="561">
        <f t="shared" si="10"/>
      </c>
      <c r="AY73" s="561">
        <f t="shared" si="10"/>
      </c>
      <c r="AZ73" s="561">
        <f t="shared" si="10"/>
      </c>
      <c r="BA73" s="561">
        <f t="shared" si="10"/>
      </c>
      <c r="BB73" s="561">
        <f t="shared" si="10"/>
      </c>
      <c r="BC73" s="561">
        <f t="shared" si="10"/>
      </c>
      <c r="BD73" s="561">
        <f t="shared" si="10"/>
      </c>
      <c r="BE73" s="561">
        <f t="shared" si="10"/>
      </c>
      <c r="BF73" s="192"/>
    </row>
    <row r="74" spans="2:58" ht="16.5" thickBot="1" thickTop="1">
      <c r="B74" s="564"/>
      <c r="C74" s="571">
        <f>+IF(O$59&lt;=$G$55,O$59,"")</f>
      </c>
      <c r="D74" s="663"/>
      <c r="E74" s="664"/>
      <c r="F74" s="665"/>
      <c r="G74" s="560"/>
      <c r="H74" s="562"/>
      <c r="I74" s="562"/>
      <c r="J74" s="562"/>
      <c r="K74" s="562"/>
      <c r="L74" s="562"/>
      <c r="M74" s="562"/>
      <c r="N74" s="562"/>
      <c r="O74" s="561">
        <f aca="true" t="shared" si="17" ref="O74:AC74">IF(ISERROR($F74*$E74*EXP(-$F74*(O$59-$C74+0.5))*$D74),"",$F74*$E74*EXP(-$F74*(O$59-$C74+0.5))*$D74)</f>
      </c>
      <c r="P74" s="561">
        <f t="shared" si="17"/>
      </c>
      <c r="Q74" s="561">
        <f t="shared" si="17"/>
      </c>
      <c r="R74" s="561">
        <f t="shared" si="17"/>
      </c>
      <c r="S74" s="561">
        <f t="shared" si="17"/>
      </c>
      <c r="T74" s="561">
        <f t="shared" si="17"/>
      </c>
      <c r="U74" s="561">
        <f t="shared" si="17"/>
      </c>
      <c r="V74" s="561">
        <f t="shared" si="17"/>
      </c>
      <c r="W74" s="561">
        <f t="shared" si="17"/>
      </c>
      <c r="X74" s="561">
        <f t="shared" si="17"/>
      </c>
      <c r="Y74" s="561">
        <f t="shared" si="17"/>
      </c>
      <c r="Z74" s="561">
        <f t="shared" si="17"/>
      </c>
      <c r="AA74" s="561">
        <f t="shared" si="17"/>
      </c>
      <c r="AB74" s="561">
        <f t="shared" si="17"/>
      </c>
      <c r="AC74" s="561">
        <f t="shared" si="17"/>
      </c>
      <c r="AD74" s="561">
        <f t="shared" si="12"/>
      </c>
      <c r="AE74" s="561">
        <f t="shared" si="12"/>
      </c>
      <c r="AF74" s="561">
        <f t="shared" si="12"/>
      </c>
      <c r="AG74" s="561">
        <f t="shared" si="12"/>
      </c>
      <c r="AH74" s="561">
        <f t="shared" si="12"/>
      </c>
      <c r="AI74" s="561">
        <f t="shared" si="12"/>
      </c>
      <c r="AJ74" s="561">
        <f t="shared" si="12"/>
      </c>
      <c r="AK74" s="561">
        <f t="shared" si="12"/>
      </c>
      <c r="AL74" s="561">
        <f t="shared" si="9"/>
      </c>
      <c r="AM74" s="561">
        <f t="shared" si="9"/>
      </c>
      <c r="AN74" s="561">
        <f t="shared" si="9"/>
      </c>
      <c r="AO74" s="561">
        <f t="shared" si="9"/>
      </c>
      <c r="AP74" s="561">
        <f t="shared" si="9"/>
      </c>
      <c r="AQ74" s="561">
        <f t="shared" si="9"/>
      </c>
      <c r="AR74" s="561">
        <f t="shared" si="9"/>
      </c>
      <c r="AS74" s="561">
        <f t="shared" si="9"/>
      </c>
      <c r="AT74" s="561">
        <f t="shared" si="9"/>
      </c>
      <c r="AU74" s="561">
        <f t="shared" si="9"/>
      </c>
      <c r="AV74" s="561">
        <f t="shared" si="9"/>
      </c>
      <c r="AW74" s="561">
        <f t="shared" si="10"/>
      </c>
      <c r="AX74" s="561">
        <f t="shared" si="10"/>
      </c>
      <c r="AY74" s="561">
        <f t="shared" si="10"/>
      </c>
      <c r="AZ74" s="561">
        <f t="shared" si="10"/>
      </c>
      <c r="BA74" s="561">
        <f t="shared" si="10"/>
      </c>
      <c r="BB74" s="561">
        <f t="shared" si="10"/>
      </c>
      <c r="BC74" s="561">
        <f t="shared" si="10"/>
      </c>
      <c r="BD74" s="561">
        <f t="shared" si="10"/>
      </c>
      <c r="BE74" s="561">
        <f t="shared" si="10"/>
      </c>
      <c r="BF74" s="192"/>
    </row>
    <row r="75" spans="2:58" ht="16.5" thickBot="1" thickTop="1">
      <c r="B75" s="57"/>
      <c r="C75" s="571">
        <f>+IF(P$59&lt;=$G$55,P$59,"")</f>
      </c>
      <c r="D75" s="663"/>
      <c r="E75" s="664"/>
      <c r="F75" s="665"/>
      <c r="G75" s="560"/>
      <c r="H75" s="562"/>
      <c r="I75" s="562"/>
      <c r="J75" s="562"/>
      <c r="K75" s="562"/>
      <c r="L75" s="562"/>
      <c r="M75" s="562"/>
      <c r="N75" s="562"/>
      <c r="O75" s="562"/>
      <c r="P75" s="561">
        <f aca="true" t="shared" si="18" ref="P75:AC75">IF(ISERROR($F75*$E75*EXP(-$F75*(P$59-$C75+0.5))*$D75),"",$F75*$E75*EXP(-$F75*(P$59-$C75+0.5))*$D75)</f>
      </c>
      <c r="Q75" s="561">
        <f t="shared" si="18"/>
      </c>
      <c r="R75" s="561">
        <f t="shared" si="18"/>
      </c>
      <c r="S75" s="561">
        <f t="shared" si="18"/>
      </c>
      <c r="T75" s="561">
        <f t="shared" si="18"/>
      </c>
      <c r="U75" s="561">
        <f t="shared" si="18"/>
      </c>
      <c r="V75" s="561">
        <f t="shared" si="18"/>
      </c>
      <c r="W75" s="561">
        <f t="shared" si="18"/>
      </c>
      <c r="X75" s="561">
        <f t="shared" si="18"/>
      </c>
      <c r="Y75" s="561">
        <f t="shared" si="18"/>
      </c>
      <c r="Z75" s="561">
        <f t="shared" si="18"/>
      </c>
      <c r="AA75" s="561">
        <f t="shared" si="18"/>
      </c>
      <c r="AB75" s="561">
        <f t="shared" si="18"/>
      </c>
      <c r="AC75" s="561">
        <f t="shared" si="18"/>
      </c>
      <c r="AD75" s="561">
        <f t="shared" si="12"/>
      </c>
      <c r="AE75" s="561">
        <f t="shared" si="12"/>
      </c>
      <c r="AF75" s="561">
        <f t="shared" si="12"/>
      </c>
      <c r="AG75" s="561">
        <f t="shared" si="12"/>
      </c>
      <c r="AH75" s="561">
        <f t="shared" si="12"/>
      </c>
      <c r="AI75" s="561">
        <f t="shared" si="12"/>
      </c>
      <c r="AJ75" s="561">
        <f t="shared" si="12"/>
      </c>
      <c r="AK75" s="561">
        <f t="shared" si="12"/>
      </c>
      <c r="AL75" s="561">
        <f t="shared" si="9"/>
      </c>
      <c r="AM75" s="561">
        <f t="shared" si="9"/>
      </c>
      <c r="AN75" s="561">
        <f t="shared" si="9"/>
      </c>
      <c r="AO75" s="561">
        <f t="shared" si="9"/>
      </c>
      <c r="AP75" s="561">
        <f t="shared" si="9"/>
      </c>
      <c r="AQ75" s="561">
        <f t="shared" si="9"/>
      </c>
      <c r="AR75" s="561">
        <f t="shared" si="9"/>
      </c>
      <c r="AS75" s="561">
        <f t="shared" si="9"/>
      </c>
      <c r="AT75" s="561">
        <f t="shared" si="9"/>
      </c>
      <c r="AU75" s="561">
        <f t="shared" si="9"/>
      </c>
      <c r="AV75" s="561">
        <f t="shared" si="9"/>
      </c>
      <c r="AW75" s="561">
        <f t="shared" si="10"/>
      </c>
      <c r="AX75" s="561">
        <f t="shared" si="10"/>
      </c>
      <c r="AY75" s="561">
        <f t="shared" si="10"/>
      </c>
      <c r="AZ75" s="561">
        <f t="shared" si="10"/>
      </c>
      <c r="BA75" s="561">
        <f t="shared" si="10"/>
      </c>
      <c r="BB75" s="561">
        <f t="shared" si="10"/>
      </c>
      <c r="BC75" s="561">
        <f t="shared" si="10"/>
      </c>
      <c r="BD75" s="561">
        <f t="shared" si="10"/>
      </c>
      <c r="BE75" s="561">
        <f t="shared" si="10"/>
      </c>
      <c r="BF75" s="192"/>
    </row>
    <row r="76" spans="2:58" ht="16.5" thickBot="1" thickTop="1">
      <c r="B76" s="57"/>
      <c r="C76" s="571">
        <f>+IF(Q$59&lt;=$G$55,Q$59,"")</f>
      </c>
      <c r="D76" s="663"/>
      <c r="E76" s="664"/>
      <c r="F76" s="665"/>
      <c r="G76" s="560"/>
      <c r="H76" s="562"/>
      <c r="I76" s="562"/>
      <c r="J76" s="562"/>
      <c r="K76" s="562"/>
      <c r="L76" s="562"/>
      <c r="M76" s="562"/>
      <c r="N76" s="562"/>
      <c r="O76" s="562"/>
      <c r="P76" s="562"/>
      <c r="Q76" s="561">
        <f aca="true" t="shared" si="19" ref="Q76:AC76">IF(ISERROR($F76*$E76*EXP(-$F76*(Q$59-$C76+0.5))*$D76),"",$F76*$E76*EXP(-$F76*(Q$59-$C76+0.5))*$D76)</f>
      </c>
      <c r="R76" s="561">
        <f t="shared" si="19"/>
      </c>
      <c r="S76" s="561">
        <f t="shared" si="19"/>
      </c>
      <c r="T76" s="561">
        <f t="shared" si="19"/>
      </c>
      <c r="U76" s="561">
        <f t="shared" si="19"/>
      </c>
      <c r="V76" s="561">
        <f t="shared" si="19"/>
      </c>
      <c r="W76" s="561">
        <f t="shared" si="19"/>
      </c>
      <c r="X76" s="561">
        <f t="shared" si="19"/>
      </c>
      <c r="Y76" s="561">
        <f t="shared" si="19"/>
      </c>
      <c r="Z76" s="561">
        <f t="shared" si="19"/>
      </c>
      <c r="AA76" s="561">
        <f t="shared" si="19"/>
      </c>
      <c r="AB76" s="561">
        <f t="shared" si="19"/>
      </c>
      <c r="AC76" s="561">
        <f t="shared" si="19"/>
      </c>
      <c r="AD76" s="561">
        <f t="shared" si="12"/>
      </c>
      <c r="AE76" s="561">
        <f t="shared" si="12"/>
      </c>
      <c r="AF76" s="561">
        <f t="shared" si="12"/>
      </c>
      <c r="AG76" s="561">
        <f t="shared" si="12"/>
      </c>
      <c r="AH76" s="561">
        <f t="shared" si="12"/>
      </c>
      <c r="AI76" s="561">
        <f t="shared" si="12"/>
      </c>
      <c r="AJ76" s="561">
        <f t="shared" si="12"/>
      </c>
      <c r="AK76" s="561">
        <f t="shared" si="12"/>
      </c>
      <c r="AL76" s="561">
        <f t="shared" si="9"/>
      </c>
      <c r="AM76" s="561">
        <f t="shared" si="9"/>
      </c>
      <c r="AN76" s="561">
        <f t="shared" si="9"/>
      </c>
      <c r="AO76" s="561">
        <f t="shared" si="9"/>
      </c>
      <c r="AP76" s="561">
        <f t="shared" si="9"/>
      </c>
      <c r="AQ76" s="561">
        <f t="shared" si="9"/>
      </c>
      <c r="AR76" s="561">
        <f t="shared" si="9"/>
      </c>
      <c r="AS76" s="561">
        <f t="shared" si="9"/>
      </c>
      <c r="AT76" s="561">
        <f t="shared" si="9"/>
      </c>
      <c r="AU76" s="561">
        <f t="shared" si="9"/>
      </c>
      <c r="AV76" s="561">
        <f t="shared" si="9"/>
      </c>
      <c r="AW76" s="561">
        <f t="shared" si="10"/>
      </c>
      <c r="AX76" s="561">
        <f t="shared" si="10"/>
      </c>
      <c r="AY76" s="561">
        <f t="shared" si="10"/>
      </c>
      <c r="AZ76" s="561">
        <f t="shared" si="10"/>
      </c>
      <c r="BA76" s="561">
        <f t="shared" si="10"/>
      </c>
      <c r="BB76" s="561">
        <f t="shared" si="10"/>
      </c>
      <c r="BC76" s="561">
        <f t="shared" si="10"/>
      </c>
      <c r="BD76" s="561">
        <f t="shared" si="10"/>
      </c>
      <c r="BE76" s="561">
        <f t="shared" si="10"/>
      </c>
      <c r="BF76" s="192"/>
    </row>
    <row r="77" spans="2:58" ht="16.5" thickBot="1" thickTop="1">
      <c r="B77" s="57"/>
      <c r="C77" s="571">
        <f>+IF(R$59&lt;=$G$55,R$59,"")</f>
      </c>
      <c r="D77" s="663"/>
      <c r="E77" s="664"/>
      <c r="F77" s="665"/>
      <c r="G77" s="560"/>
      <c r="H77" s="562"/>
      <c r="I77" s="562"/>
      <c r="J77" s="562"/>
      <c r="K77" s="562"/>
      <c r="L77" s="562"/>
      <c r="M77" s="562"/>
      <c r="N77" s="562"/>
      <c r="O77" s="562"/>
      <c r="P77" s="562"/>
      <c r="Q77" s="562"/>
      <c r="R77" s="561">
        <f aca="true" t="shared" si="20" ref="R77:AC77">IF(ISERROR($F77*$E77*EXP(-$F77*(R$59-$C77+0.5))*$D77),"",$F77*$E77*EXP(-$F77*(R$59-$C77+0.5))*$D77)</f>
      </c>
      <c r="S77" s="561">
        <f t="shared" si="20"/>
      </c>
      <c r="T77" s="561">
        <f t="shared" si="20"/>
      </c>
      <c r="U77" s="561">
        <f t="shared" si="20"/>
      </c>
      <c r="V77" s="561">
        <f t="shared" si="20"/>
      </c>
      <c r="W77" s="561">
        <f t="shared" si="20"/>
      </c>
      <c r="X77" s="561">
        <f t="shared" si="20"/>
      </c>
      <c r="Y77" s="561">
        <f t="shared" si="20"/>
      </c>
      <c r="Z77" s="561">
        <f t="shared" si="20"/>
      </c>
      <c r="AA77" s="561">
        <f t="shared" si="20"/>
      </c>
      <c r="AB77" s="561">
        <f t="shared" si="20"/>
      </c>
      <c r="AC77" s="561">
        <f t="shared" si="20"/>
      </c>
      <c r="AD77" s="561">
        <f t="shared" si="12"/>
      </c>
      <c r="AE77" s="561">
        <f t="shared" si="12"/>
      </c>
      <c r="AF77" s="561">
        <f t="shared" si="12"/>
      </c>
      <c r="AG77" s="561">
        <f t="shared" si="12"/>
      </c>
      <c r="AH77" s="561">
        <f t="shared" si="12"/>
      </c>
      <c r="AI77" s="561">
        <f t="shared" si="12"/>
      </c>
      <c r="AJ77" s="561">
        <f t="shared" si="12"/>
      </c>
      <c r="AK77" s="561">
        <f t="shared" si="12"/>
      </c>
      <c r="AL77" s="561">
        <f t="shared" si="9"/>
      </c>
      <c r="AM77" s="561">
        <f t="shared" si="9"/>
      </c>
      <c r="AN77" s="561">
        <f t="shared" si="9"/>
      </c>
      <c r="AO77" s="561">
        <f t="shared" si="9"/>
      </c>
      <c r="AP77" s="561">
        <f t="shared" si="9"/>
      </c>
      <c r="AQ77" s="561">
        <f t="shared" si="9"/>
      </c>
      <c r="AR77" s="561">
        <f t="shared" si="9"/>
      </c>
      <c r="AS77" s="561">
        <f t="shared" si="9"/>
      </c>
      <c r="AT77" s="561">
        <f t="shared" si="9"/>
      </c>
      <c r="AU77" s="561">
        <f t="shared" si="9"/>
      </c>
      <c r="AV77" s="561">
        <f t="shared" si="9"/>
      </c>
      <c r="AW77" s="561">
        <f t="shared" si="10"/>
      </c>
      <c r="AX77" s="561">
        <f t="shared" si="10"/>
      </c>
      <c r="AY77" s="561">
        <f t="shared" si="10"/>
      </c>
      <c r="AZ77" s="561">
        <f t="shared" si="10"/>
      </c>
      <c r="BA77" s="561">
        <f t="shared" si="10"/>
      </c>
      <c r="BB77" s="561">
        <f t="shared" si="10"/>
      </c>
      <c r="BC77" s="561">
        <f t="shared" si="10"/>
      </c>
      <c r="BD77" s="561">
        <f t="shared" si="10"/>
      </c>
      <c r="BE77" s="561">
        <f t="shared" si="10"/>
      </c>
      <c r="BF77" s="192"/>
    </row>
    <row r="78" spans="2:58" ht="16.5" thickBot="1" thickTop="1">
      <c r="B78" s="57"/>
      <c r="C78" s="571">
        <f>+IF(S$59&lt;=$G$55,S$59,"")</f>
      </c>
      <c r="D78" s="663"/>
      <c r="E78" s="664"/>
      <c r="F78" s="665"/>
      <c r="G78" s="560"/>
      <c r="H78" s="562"/>
      <c r="I78" s="562"/>
      <c r="J78" s="562"/>
      <c r="K78" s="562"/>
      <c r="L78" s="562"/>
      <c r="M78" s="562"/>
      <c r="N78" s="562"/>
      <c r="O78" s="562"/>
      <c r="P78" s="562"/>
      <c r="Q78" s="562"/>
      <c r="R78" s="562"/>
      <c r="S78" s="561">
        <f aca="true" t="shared" si="21" ref="S78:AC78">IF(ISERROR($F78*$E78*EXP(-$F78*(S$59-$C78+0.5))*$D78),"",$F78*$E78*EXP(-$F78*(S$59-$C78+0.5))*$D78)</f>
      </c>
      <c r="T78" s="561">
        <f t="shared" si="21"/>
      </c>
      <c r="U78" s="561">
        <f t="shared" si="21"/>
      </c>
      <c r="V78" s="561">
        <f t="shared" si="21"/>
      </c>
      <c r="W78" s="561">
        <f t="shared" si="21"/>
      </c>
      <c r="X78" s="561">
        <f t="shared" si="21"/>
      </c>
      <c r="Y78" s="561">
        <f t="shared" si="21"/>
      </c>
      <c r="Z78" s="561">
        <f t="shared" si="21"/>
      </c>
      <c r="AA78" s="561">
        <f t="shared" si="21"/>
      </c>
      <c r="AB78" s="561">
        <f t="shared" si="21"/>
      </c>
      <c r="AC78" s="561">
        <f t="shared" si="21"/>
      </c>
      <c r="AD78" s="561">
        <f t="shared" si="12"/>
      </c>
      <c r="AE78" s="561">
        <f t="shared" si="12"/>
      </c>
      <c r="AF78" s="561">
        <f t="shared" si="12"/>
      </c>
      <c r="AG78" s="561">
        <f t="shared" si="12"/>
      </c>
      <c r="AH78" s="561">
        <f t="shared" si="12"/>
      </c>
      <c r="AI78" s="561">
        <f t="shared" si="12"/>
      </c>
      <c r="AJ78" s="561">
        <f t="shared" si="12"/>
      </c>
      <c r="AK78" s="561">
        <f t="shared" si="12"/>
      </c>
      <c r="AL78" s="561">
        <f t="shared" si="9"/>
      </c>
      <c r="AM78" s="561">
        <f t="shared" si="9"/>
      </c>
      <c r="AN78" s="561">
        <f t="shared" si="9"/>
      </c>
      <c r="AO78" s="561">
        <f t="shared" si="9"/>
      </c>
      <c r="AP78" s="561">
        <f t="shared" si="9"/>
      </c>
      <c r="AQ78" s="561">
        <f t="shared" si="9"/>
      </c>
      <c r="AR78" s="561">
        <f t="shared" si="9"/>
      </c>
      <c r="AS78" s="561">
        <f t="shared" si="9"/>
      </c>
      <c r="AT78" s="561">
        <f t="shared" si="9"/>
      </c>
      <c r="AU78" s="561">
        <f t="shared" si="9"/>
      </c>
      <c r="AV78" s="561">
        <f t="shared" si="9"/>
      </c>
      <c r="AW78" s="561">
        <f t="shared" si="10"/>
      </c>
      <c r="AX78" s="561">
        <f t="shared" si="10"/>
      </c>
      <c r="AY78" s="561">
        <f t="shared" si="10"/>
      </c>
      <c r="AZ78" s="561">
        <f t="shared" si="10"/>
      </c>
      <c r="BA78" s="561">
        <f t="shared" si="10"/>
      </c>
      <c r="BB78" s="561">
        <f t="shared" si="10"/>
      </c>
      <c r="BC78" s="561">
        <f t="shared" si="10"/>
      </c>
      <c r="BD78" s="561">
        <f t="shared" si="10"/>
      </c>
      <c r="BE78" s="561">
        <f t="shared" si="10"/>
      </c>
      <c r="BF78" s="192"/>
    </row>
    <row r="79" spans="2:58" ht="16.5" thickBot="1" thickTop="1">
      <c r="B79" s="57"/>
      <c r="C79" s="571">
        <f>+IF(T$59&lt;=$G$55,T$59,"")</f>
      </c>
      <c r="D79" s="663"/>
      <c r="E79" s="664"/>
      <c r="F79" s="665"/>
      <c r="G79" s="560"/>
      <c r="H79" s="562"/>
      <c r="I79" s="562"/>
      <c r="J79" s="562"/>
      <c r="K79" s="562"/>
      <c r="L79" s="562"/>
      <c r="M79" s="562"/>
      <c r="N79" s="562"/>
      <c r="O79" s="562"/>
      <c r="P79" s="562"/>
      <c r="Q79" s="562"/>
      <c r="R79" s="562"/>
      <c r="S79" s="562"/>
      <c r="T79" s="561">
        <f aca="true" t="shared" si="22" ref="T79:AB79">IF(ISERROR($F79*$E79*EXP(-$F79*(T$59-$C79+0.5))*$D79),"",$F79*$E79*EXP(-$F79*(T$59-$C79+0.5))*$D79)</f>
      </c>
      <c r="U79" s="561">
        <f t="shared" si="22"/>
      </c>
      <c r="V79" s="561">
        <f t="shared" si="22"/>
      </c>
      <c r="W79" s="561">
        <f t="shared" si="22"/>
      </c>
      <c r="X79" s="561">
        <f t="shared" si="22"/>
      </c>
      <c r="Y79" s="561">
        <f t="shared" si="22"/>
      </c>
      <c r="Z79" s="561">
        <f t="shared" si="22"/>
      </c>
      <c r="AA79" s="561">
        <f t="shared" si="22"/>
      </c>
      <c r="AB79" s="561">
        <f t="shared" si="22"/>
      </c>
      <c r="AC79" s="561">
        <f aca="true" t="shared" si="23" ref="AC79:AC88">IF(ISERROR($F79*$E79*EXP(-$F79*(AC$59-$C79+0.5))*$D79),"",$F79*$E79*EXP(-$F79*(AC$59-$C79+0.5))*$D79)</f>
      </c>
      <c r="AD79" s="561">
        <f aca="true" t="shared" si="24" ref="AD79:AS94">IF(ISERROR($F79*$E79*EXP(-$F79*(AD$59-$C79+0.5))*$D79),"",$F79*$E79*EXP(-$F79*(AD$59-$C79+0.5))*$D79)</f>
      </c>
      <c r="AE79" s="561">
        <f t="shared" si="24"/>
      </c>
      <c r="AF79" s="561">
        <f t="shared" si="24"/>
      </c>
      <c r="AG79" s="561">
        <f t="shared" si="24"/>
      </c>
      <c r="AH79" s="561">
        <f t="shared" si="24"/>
      </c>
      <c r="AI79" s="561">
        <f t="shared" si="24"/>
      </c>
      <c r="AJ79" s="561">
        <f t="shared" si="24"/>
      </c>
      <c r="AK79" s="561">
        <f t="shared" si="24"/>
      </c>
      <c r="AL79" s="561">
        <f t="shared" si="9"/>
      </c>
      <c r="AM79" s="561">
        <f t="shared" si="9"/>
      </c>
      <c r="AN79" s="561">
        <f t="shared" si="9"/>
      </c>
      <c r="AO79" s="561">
        <f t="shared" si="9"/>
      </c>
      <c r="AP79" s="561">
        <f t="shared" si="9"/>
      </c>
      <c r="AQ79" s="561">
        <f t="shared" si="9"/>
      </c>
      <c r="AR79" s="561">
        <f t="shared" si="9"/>
      </c>
      <c r="AS79" s="561">
        <f t="shared" si="9"/>
      </c>
      <c r="AT79" s="561">
        <f t="shared" si="9"/>
      </c>
      <c r="AU79" s="561">
        <f t="shared" si="9"/>
      </c>
      <c r="AV79" s="561">
        <f t="shared" si="9"/>
      </c>
      <c r="AW79" s="561">
        <f t="shared" si="10"/>
      </c>
      <c r="AX79" s="561">
        <f t="shared" si="10"/>
      </c>
      <c r="AY79" s="561">
        <f t="shared" si="10"/>
      </c>
      <c r="AZ79" s="561">
        <f t="shared" si="10"/>
      </c>
      <c r="BA79" s="561">
        <f t="shared" si="10"/>
      </c>
      <c r="BB79" s="561">
        <f t="shared" si="10"/>
      </c>
      <c r="BC79" s="561">
        <f t="shared" si="10"/>
      </c>
      <c r="BD79" s="561">
        <f t="shared" si="10"/>
      </c>
      <c r="BE79" s="561">
        <f t="shared" si="10"/>
      </c>
      <c r="BF79" s="192"/>
    </row>
    <row r="80" spans="2:58" ht="16.5" thickBot="1" thickTop="1">
      <c r="B80" s="57"/>
      <c r="C80" s="571">
        <f>+IF(U$59&lt;=$G$55,U$59,"")</f>
      </c>
      <c r="D80" s="663"/>
      <c r="E80" s="664"/>
      <c r="F80" s="665"/>
      <c r="G80" s="560"/>
      <c r="H80" s="562"/>
      <c r="I80" s="562"/>
      <c r="J80" s="562"/>
      <c r="K80" s="562"/>
      <c r="L80" s="562"/>
      <c r="M80" s="562"/>
      <c r="N80" s="562"/>
      <c r="O80" s="562"/>
      <c r="P80" s="562"/>
      <c r="Q80" s="562"/>
      <c r="R80" s="562"/>
      <c r="S80" s="562"/>
      <c r="T80" s="562"/>
      <c r="U80" s="561">
        <f aca="true" t="shared" si="25" ref="U80:AB80">IF(ISERROR($F80*$E80*EXP(-$F80*(U$59-$C80+0.5))*$D80),"",$F80*$E80*EXP(-$F80*(U$59-$C80+0.5))*$D80)</f>
      </c>
      <c r="V80" s="561">
        <f t="shared" si="25"/>
      </c>
      <c r="W80" s="561">
        <f t="shared" si="25"/>
      </c>
      <c r="X80" s="561">
        <f t="shared" si="25"/>
      </c>
      <c r="Y80" s="561">
        <f t="shared" si="25"/>
      </c>
      <c r="Z80" s="561">
        <f t="shared" si="25"/>
      </c>
      <c r="AA80" s="561">
        <f t="shared" si="25"/>
      </c>
      <c r="AB80" s="561">
        <f t="shared" si="25"/>
      </c>
      <c r="AC80" s="561">
        <f t="shared" si="23"/>
      </c>
      <c r="AD80" s="561">
        <f t="shared" si="24"/>
      </c>
      <c r="AE80" s="561">
        <f t="shared" si="24"/>
      </c>
      <c r="AF80" s="561">
        <f t="shared" si="24"/>
      </c>
      <c r="AG80" s="561">
        <f t="shared" si="24"/>
      </c>
      <c r="AH80" s="561">
        <f t="shared" si="24"/>
      </c>
      <c r="AI80" s="561">
        <f t="shared" si="24"/>
      </c>
      <c r="AJ80" s="561">
        <f t="shared" si="24"/>
      </c>
      <c r="AK80" s="561">
        <f t="shared" si="24"/>
      </c>
      <c r="AL80" s="561">
        <f t="shared" si="9"/>
      </c>
      <c r="AM80" s="561">
        <f t="shared" si="9"/>
      </c>
      <c r="AN80" s="561">
        <f t="shared" si="9"/>
      </c>
      <c r="AO80" s="561">
        <f t="shared" si="9"/>
      </c>
      <c r="AP80" s="561">
        <f t="shared" si="9"/>
      </c>
      <c r="AQ80" s="561">
        <f t="shared" si="9"/>
      </c>
      <c r="AR80" s="561">
        <f t="shared" si="9"/>
      </c>
      <c r="AS80" s="561">
        <f t="shared" si="9"/>
      </c>
      <c r="AT80" s="561">
        <f t="shared" si="9"/>
      </c>
      <c r="AU80" s="561">
        <f t="shared" si="9"/>
      </c>
      <c r="AV80" s="561">
        <f t="shared" si="9"/>
      </c>
      <c r="AW80" s="561">
        <f t="shared" si="10"/>
      </c>
      <c r="AX80" s="561">
        <f t="shared" si="10"/>
      </c>
      <c r="AY80" s="561">
        <f t="shared" si="10"/>
      </c>
      <c r="AZ80" s="561">
        <f t="shared" si="10"/>
      </c>
      <c r="BA80" s="561">
        <f t="shared" si="10"/>
      </c>
      <c r="BB80" s="561">
        <f t="shared" si="10"/>
      </c>
      <c r="BC80" s="561">
        <f t="shared" si="10"/>
      </c>
      <c r="BD80" s="561">
        <f t="shared" si="10"/>
      </c>
      <c r="BE80" s="561">
        <f t="shared" si="10"/>
      </c>
      <c r="BF80" s="192"/>
    </row>
    <row r="81" spans="2:58" ht="16.5" thickBot="1" thickTop="1">
      <c r="B81" s="57"/>
      <c r="C81" s="571">
        <f>+IF(V$59&lt;=$G$55,V$59,"")</f>
      </c>
      <c r="D81" s="663"/>
      <c r="E81" s="664"/>
      <c r="F81" s="665"/>
      <c r="G81" s="560"/>
      <c r="H81" s="562"/>
      <c r="I81" s="562"/>
      <c r="J81" s="562"/>
      <c r="K81" s="562"/>
      <c r="L81" s="562"/>
      <c r="M81" s="562"/>
      <c r="N81" s="562"/>
      <c r="O81" s="562"/>
      <c r="P81" s="562"/>
      <c r="Q81" s="562"/>
      <c r="R81" s="562"/>
      <c r="S81" s="562"/>
      <c r="T81" s="562"/>
      <c r="U81" s="562"/>
      <c r="V81" s="561">
        <f aca="true" t="shared" si="26" ref="V81:AB81">IF(ISERROR($F81*$E81*EXP(-$F81*(V$59-$C81+0.5))*$D81),"",$F81*$E81*EXP(-$F81*(V$59-$C81+0.5))*$D81)</f>
      </c>
      <c r="W81" s="561">
        <f t="shared" si="26"/>
      </c>
      <c r="X81" s="561">
        <f t="shared" si="26"/>
      </c>
      <c r="Y81" s="561">
        <f t="shared" si="26"/>
      </c>
      <c r="Z81" s="561">
        <f t="shared" si="26"/>
      </c>
      <c r="AA81" s="561">
        <f t="shared" si="26"/>
      </c>
      <c r="AB81" s="561">
        <f t="shared" si="26"/>
      </c>
      <c r="AC81" s="561">
        <f t="shared" si="23"/>
      </c>
      <c r="AD81" s="561">
        <f t="shared" si="24"/>
      </c>
      <c r="AE81" s="561">
        <f t="shared" si="24"/>
      </c>
      <c r="AF81" s="561">
        <f t="shared" si="24"/>
      </c>
      <c r="AG81" s="561">
        <f t="shared" si="24"/>
      </c>
      <c r="AH81" s="561">
        <f t="shared" si="24"/>
      </c>
      <c r="AI81" s="561">
        <f t="shared" si="24"/>
      </c>
      <c r="AJ81" s="561">
        <f t="shared" si="24"/>
      </c>
      <c r="AK81" s="561">
        <f t="shared" si="24"/>
      </c>
      <c r="AL81" s="561">
        <f t="shared" si="9"/>
      </c>
      <c r="AM81" s="561">
        <f t="shared" si="9"/>
      </c>
      <c r="AN81" s="561">
        <f t="shared" si="9"/>
      </c>
      <c r="AO81" s="561">
        <f t="shared" si="9"/>
      </c>
      <c r="AP81" s="561">
        <f t="shared" si="9"/>
      </c>
      <c r="AQ81" s="561">
        <f t="shared" si="9"/>
      </c>
      <c r="AR81" s="561">
        <f t="shared" si="9"/>
      </c>
      <c r="AS81" s="561">
        <f t="shared" si="9"/>
      </c>
      <c r="AT81" s="561">
        <f t="shared" si="9"/>
      </c>
      <c r="AU81" s="561">
        <f t="shared" si="9"/>
      </c>
      <c r="AV81" s="561">
        <f t="shared" si="9"/>
      </c>
      <c r="AW81" s="561">
        <f t="shared" si="10"/>
      </c>
      <c r="AX81" s="561">
        <f t="shared" si="10"/>
      </c>
      <c r="AY81" s="561">
        <f t="shared" si="10"/>
      </c>
      <c r="AZ81" s="561">
        <f t="shared" si="10"/>
      </c>
      <c r="BA81" s="561">
        <f t="shared" si="10"/>
      </c>
      <c r="BB81" s="561">
        <f t="shared" si="10"/>
      </c>
      <c r="BC81" s="561">
        <f t="shared" si="10"/>
      </c>
      <c r="BD81" s="561">
        <f t="shared" si="10"/>
      </c>
      <c r="BE81" s="561">
        <f t="shared" si="10"/>
      </c>
      <c r="BF81" s="192"/>
    </row>
    <row r="82" spans="2:58" ht="16.5" thickBot="1" thickTop="1">
      <c r="B82" s="57"/>
      <c r="C82" s="571">
        <f>+IF(W$59&lt;=$G$55,W$59,"")</f>
      </c>
      <c r="D82" s="663"/>
      <c r="E82" s="664"/>
      <c r="F82" s="665"/>
      <c r="G82" s="560"/>
      <c r="H82" s="562"/>
      <c r="I82" s="562"/>
      <c r="J82" s="562"/>
      <c r="K82" s="562"/>
      <c r="L82" s="562"/>
      <c r="M82" s="562"/>
      <c r="N82" s="562"/>
      <c r="O82" s="562"/>
      <c r="P82" s="562"/>
      <c r="Q82" s="562"/>
      <c r="R82" s="562"/>
      <c r="S82" s="562"/>
      <c r="T82" s="562"/>
      <c r="U82" s="562"/>
      <c r="V82" s="562"/>
      <c r="W82" s="561">
        <f aca="true" t="shared" si="27" ref="W82:AB82">IF(ISERROR($F82*$E82*EXP(-$F82*(W$59-$C82+0.5))*$D82),"",$F82*$E82*EXP(-$F82*(W$59-$C82+0.5))*$D82)</f>
      </c>
      <c r="X82" s="561">
        <f t="shared" si="27"/>
      </c>
      <c r="Y82" s="561">
        <f t="shared" si="27"/>
      </c>
      <c r="Z82" s="561">
        <f t="shared" si="27"/>
      </c>
      <c r="AA82" s="561">
        <f t="shared" si="27"/>
      </c>
      <c r="AB82" s="561">
        <f t="shared" si="27"/>
      </c>
      <c r="AC82" s="561">
        <f t="shared" si="23"/>
      </c>
      <c r="AD82" s="561">
        <f t="shared" si="24"/>
      </c>
      <c r="AE82" s="561">
        <f t="shared" si="24"/>
      </c>
      <c r="AF82" s="561">
        <f t="shared" si="24"/>
      </c>
      <c r="AG82" s="561">
        <f t="shared" si="24"/>
      </c>
      <c r="AH82" s="561">
        <f t="shared" si="24"/>
      </c>
      <c r="AI82" s="561">
        <f t="shared" si="24"/>
      </c>
      <c r="AJ82" s="561">
        <f t="shared" si="24"/>
      </c>
      <c r="AK82" s="561">
        <f t="shared" si="24"/>
      </c>
      <c r="AL82" s="561">
        <f t="shared" si="9"/>
      </c>
      <c r="AM82" s="561">
        <f t="shared" si="9"/>
      </c>
      <c r="AN82" s="561">
        <f t="shared" si="9"/>
      </c>
      <c r="AO82" s="561">
        <f t="shared" si="9"/>
      </c>
      <c r="AP82" s="561">
        <f t="shared" si="9"/>
      </c>
      <c r="AQ82" s="561">
        <f t="shared" si="9"/>
      </c>
      <c r="AR82" s="561">
        <f t="shared" si="9"/>
      </c>
      <c r="AS82" s="561">
        <f t="shared" si="9"/>
      </c>
      <c r="AT82" s="561">
        <f t="shared" si="9"/>
      </c>
      <c r="AU82" s="561">
        <f t="shared" si="9"/>
      </c>
      <c r="AV82" s="561">
        <f t="shared" si="9"/>
      </c>
      <c r="AW82" s="561">
        <f t="shared" si="10"/>
      </c>
      <c r="AX82" s="561">
        <f t="shared" si="10"/>
      </c>
      <c r="AY82" s="561">
        <f t="shared" si="10"/>
      </c>
      <c r="AZ82" s="561">
        <f t="shared" si="10"/>
      </c>
      <c r="BA82" s="561">
        <f t="shared" si="10"/>
      </c>
      <c r="BB82" s="561">
        <f t="shared" si="10"/>
      </c>
      <c r="BC82" s="561">
        <f t="shared" si="10"/>
      </c>
      <c r="BD82" s="561">
        <f t="shared" si="10"/>
      </c>
      <c r="BE82" s="561">
        <f t="shared" si="10"/>
      </c>
      <c r="BF82" s="192"/>
    </row>
    <row r="83" spans="2:58" ht="16.5" thickBot="1" thickTop="1">
      <c r="B83" s="57"/>
      <c r="C83" s="571">
        <f>+IF(X$59&lt;=$G$55,X$59,"")</f>
      </c>
      <c r="D83" s="663"/>
      <c r="E83" s="664"/>
      <c r="F83" s="665"/>
      <c r="G83" s="560"/>
      <c r="H83" s="562"/>
      <c r="I83" s="562"/>
      <c r="J83" s="562"/>
      <c r="K83" s="562"/>
      <c r="L83" s="562"/>
      <c r="M83" s="562"/>
      <c r="N83" s="562"/>
      <c r="O83" s="562"/>
      <c r="P83" s="562"/>
      <c r="Q83" s="562"/>
      <c r="R83" s="562"/>
      <c r="S83" s="562"/>
      <c r="T83" s="562"/>
      <c r="U83" s="562"/>
      <c r="V83" s="562"/>
      <c r="W83" s="562"/>
      <c r="X83" s="561">
        <f aca="true" t="shared" si="28" ref="X83:AB87">IF(ISERROR($F83*$E83*EXP(-$F83*(X$59-$C83+0.5))*$D83),"",$F83*$E83*EXP(-$F83*(X$59-$C83+0.5))*$D83)</f>
      </c>
      <c r="Y83" s="561">
        <f t="shared" si="28"/>
      </c>
      <c r="Z83" s="561">
        <f t="shared" si="28"/>
      </c>
      <c r="AA83" s="561">
        <f t="shared" si="28"/>
      </c>
      <c r="AB83" s="561">
        <f t="shared" si="28"/>
      </c>
      <c r="AC83" s="561">
        <f t="shared" si="23"/>
      </c>
      <c r="AD83" s="561">
        <f t="shared" si="24"/>
      </c>
      <c r="AE83" s="561">
        <f t="shared" si="24"/>
      </c>
      <c r="AF83" s="561">
        <f t="shared" si="24"/>
      </c>
      <c r="AG83" s="561">
        <f t="shared" si="24"/>
      </c>
      <c r="AH83" s="561">
        <f t="shared" si="24"/>
      </c>
      <c r="AI83" s="561">
        <f t="shared" si="24"/>
      </c>
      <c r="AJ83" s="561">
        <f t="shared" si="24"/>
      </c>
      <c r="AK83" s="561">
        <f t="shared" si="24"/>
      </c>
      <c r="AL83" s="561">
        <f t="shared" si="9"/>
      </c>
      <c r="AM83" s="561">
        <f t="shared" si="9"/>
      </c>
      <c r="AN83" s="561">
        <f t="shared" si="9"/>
      </c>
      <c r="AO83" s="561">
        <f t="shared" si="9"/>
      </c>
      <c r="AP83" s="561">
        <f t="shared" si="9"/>
      </c>
      <c r="AQ83" s="561">
        <f t="shared" si="9"/>
      </c>
      <c r="AR83" s="561">
        <f t="shared" si="9"/>
      </c>
      <c r="AS83" s="561">
        <f t="shared" si="9"/>
      </c>
      <c r="AT83" s="561">
        <f t="shared" si="9"/>
      </c>
      <c r="AU83" s="561">
        <f t="shared" si="9"/>
      </c>
      <c r="AV83" s="561">
        <f t="shared" si="9"/>
      </c>
      <c r="AW83" s="561">
        <f t="shared" si="10"/>
      </c>
      <c r="AX83" s="561">
        <f t="shared" si="10"/>
      </c>
      <c r="AY83" s="561">
        <f t="shared" si="10"/>
      </c>
      <c r="AZ83" s="561">
        <f t="shared" si="10"/>
      </c>
      <c r="BA83" s="561">
        <f t="shared" si="10"/>
      </c>
      <c r="BB83" s="561">
        <f t="shared" si="10"/>
      </c>
      <c r="BC83" s="561">
        <f t="shared" si="10"/>
      </c>
      <c r="BD83" s="561">
        <f t="shared" si="10"/>
      </c>
      <c r="BE83" s="561">
        <f t="shared" si="10"/>
      </c>
      <c r="BF83" s="192"/>
    </row>
    <row r="84" spans="2:58" ht="16.5" thickBot="1" thickTop="1">
      <c r="B84" s="57"/>
      <c r="C84" s="571">
        <f>+IF(Y$59&lt;=$G$55,Y$59,"")</f>
      </c>
      <c r="D84" s="663"/>
      <c r="E84" s="664"/>
      <c r="F84" s="665"/>
      <c r="G84" s="560"/>
      <c r="H84" s="562"/>
      <c r="I84" s="562"/>
      <c r="J84" s="562"/>
      <c r="K84" s="562"/>
      <c r="L84" s="562"/>
      <c r="M84" s="562"/>
      <c r="N84" s="562"/>
      <c r="O84" s="562"/>
      <c r="P84" s="562"/>
      <c r="Q84" s="562"/>
      <c r="R84" s="562"/>
      <c r="S84" s="562"/>
      <c r="T84" s="562"/>
      <c r="U84" s="562"/>
      <c r="V84" s="562"/>
      <c r="W84" s="562"/>
      <c r="X84" s="562"/>
      <c r="Y84" s="561">
        <f t="shared" si="28"/>
      </c>
      <c r="Z84" s="561">
        <f t="shared" si="28"/>
      </c>
      <c r="AA84" s="561">
        <f t="shared" si="28"/>
      </c>
      <c r="AB84" s="561">
        <f t="shared" si="28"/>
      </c>
      <c r="AC84" s="561">
        <f t="shared" si="23"/>
      </c>
      <c r="AD84" s="561">
        <f t="shared" si="24"/>
      </c>
      <c r="AE84" s="561">
        <f t="shared" si="24"/>
      </c>
      <c r="AF84" s="561">
        <f t="shared" si="24"/>
      </c>
      <c r="AG84" s="561">
        <f t="shared" si="24"/>
      </c>
      <c r="AH84" s="561">
        <f t="shared" si="24"/>
      </c>
      <c r="AI84" s="561">
        <f t="shared" si="24"/>
      </c>
      <c r="AJ84" s="561">
        <f t="shared" si="24"/>
      </c>
      <c r="AK84" s="561">
        <f t="shared" si="24"/>
      </c>
      <c r="AL84" s="561">
        <f t="shared" si="9"/>
      </c>
      <c r="AM84" s="561">
        <f t="shared" si="9"/>
      </c>
      <c r="AN84" s="561">
        <f t="shared" si="9"/>
      </c>
      <c r="AO84" s="561">
        <f t="shared" si="9"/>
      </c>
      <c r="AP84" s="561">
        <f t="shared" si="9"/>
      </c>
      <c r="AQ84" s="561">
        <f t="shared" si="9"/>
      </c>
      <c r="AR84" s="561">
        <f t="shared" si="9"/>
      </c>
      <c r="AS84" s="561">
        <f t="shared" si="9"/>
      </c>
      <c r="AT84" s="561">
        <f t="shared" si="9"/>
      </c>
      <c r="AU84" s="561">
        <f t="shared" si="9"/>
      </c>
      <c r="AV84" s="561">
        <f t="shared" si="9"/>
      </c>
      <c r="AW84" s="561">
        <f t="shared" si="10"/>
      </c>
      <c r="AX84" s="561">
        <f t="shared" si="10"/>
      </c>
      <c r="AY84" s="561">
        <f t="shared" si="10"/>
      </c>
      <c r="AZ84" s="561">
        <f t="shared" si="10"/>
      </c>
      <c r="BA84" s="561">
        <f t="shared" si="10"/>
      </c>
      <c r="BB84" s="561">
        <f t="shared" si="10"/>
      </c>
      <c r="BC84" s="561">
        <f t="shared" si="10"/>
      </c>
      <c r="BD84" s="561">
        <f t="shared" si="10"/>
      </c>
      <c r="BE84" s="561">
        <f t="shared" si="10"/>
      </c>
      <c r="BF84" s="192"/>
    </row>
    <row r="85" spans="2:58" ht="16.5" thickBot="1" thickTop="1">
      <c r="B85" s="57"/>
      <c r="C85" s="571">
        <f>+IF(Z$59&lt;=$G$55,Z$59,"")</f>
      </c>
      <c r="D85" s="663"/>
      <c r="E85" s="664"/>
      <c r="F85" s="665"/>
      <c r="G85" s="560"/>
      <c r="H85" s="562"/>
      <c r="I85" s="562"/>
      <c r="J85" s="562"/>
      <c r="K85" s="562"/>
      <c r="L85" s="562"/>
      <c r="M85" s="562"/>
      <c r="N85" s="562"/>
      <c r="O85" s="562"/>
      <c r="P85" s="562"/>
      <c r="Q85" s="562"/>
      <c r="R85" s="562"/>
      <c r="S85" s="562"/>
      <c r="T85" s="562"/>
      <c r="U85" s="562"/>
      <c r="V85" s="562"/>
      <c r="W85" s="562"/>
      <c r="X85" s="562"/>
      <c r="Y85" s="562"/>
      <c r="Z85" s="561">
        <f t="shared" si="28"/>
      </c>
      <c r="AA85" s="561">
        <f t="shared" si="28"/>
      </c>
      <c r="AB85" s="561">
        <f t="shared" si="28"/>
      </c>
      <c r="AC85" s="561">
        <f t="shared" si="23"/>
      </c>
      <c r="AD85" s="561">
        <f t="shared" si="24"/>
      </c>
      <c r="AE85" s="561">
        <f t="shared" si="24"/>
      </c>
      <c r="AF85" s="561">
        <f t="shared" si="24"/>
      </c>
      <c r="AG85" s="561">
        <f t="shared" si="24"/>
      </c>
      <c r="AH85" s="561">
        <f t="shared" si="24"/>
      </c>
      <c r="AI85" s="561">
        <f t="shared" si="24"/>
      </c>
      <c r="AJ85" s="561">
        <f t="shared" si="24"/>
      </c>
      <c r="AK85" s="561">
        <f t="shared" si="24"/>
      </c>
      <c r="AL85" s="561">
        <f t="shared" si="9"/>
      </c>
      <c r="AM85" s="561">
        <f t="shared" si="9"/>
      </c>
      <c r="AN85" s="561">
        <f t="shared" si="9"/>
      </c>
      <c r="AO85" s="561">
        <f t="shared" si="9"/>
      </c>
      <c r="AP85" s="561">
        <f t="shared" si="9"/>
      </c>
      <c r="AQ85" s="561">
        <f t="shared" si="9"/>
      </c>
      <c r="AR85" s="561">
        <f t="shared" si="9"/>
      </c>
      <c r="AS85" s="561">
        <f t="shared" si="9"/>
      </c>
      <c r="AT85" s="561">
        <f t="shared" si="9"/>
      </c>
      <c r="AU85" s="561">
        <f t="shared" si="9"/>
      </c>
      <c r="AV85" s="561">
        <f t="shared" si="9"/>
      </c>
      <c r="AW85" s="561">
        <f t="shared" si="10"/>
      </c>
      <c r="AX85" s="561">
        <f t="shared" si="10"/>
      </c>
      <c r="AY85" s="561">
        <f t="shared" si="10"/>
      </c>
      <c r="AZ85" s="561">
        <f t="shared" si="10"/>
      </c>
      <c r="BA85" s="561">
        <f t="shared" si="10"/>
      </c>
      <c r="BB85" s="561">
        <f t="shared" si="10"/>
      </c>
      <c r="BC85" s="561">
        <f t="shared" si="10"/>
      </c>
      <c r="BD85" s="561">
        <f t="shared" si="10"/>
      </c>
      <c r="BE85" s="561">
        <f t="shared" si="10"/>
      </c>
      <c r="BF85" s="192"/>
    </row>
    <row r="86" spans="2:58" ht="16.5" thickBot="1" thickTop="1">
      <c r="B86" s="57"/>
      <c r="C86" s="571">
        <f>+IF(AA$59&lt;=$G$55,AA$59,"")</f>
      </c>
      <c r="D86" s="663"/>
      <c r="E86" s="664"/>
      <c r="F86" s="665"/>
      <c r="G86" s="560"/>
      <c r="H86" s="562"/>
      <c r="I86" s="562"/>
      <c r="J86" s="562"/>
      <c r="K86" s="562"/>
      <c r="L86" s="562"/>
      <c r="M86" s="562"/>
      <c r="N86" s="562"/>
      <c r="O86" s="562"/>
      <c r="P86" s="562"/>
      <c r="Q86" s="562"/>
      <c r="R86" s="562"/>
      <c r="S86" s="562"/>
      <c r="T86" s="562"/>
      <c r="U86" s="562"/>
      <c r="V86" s="562"/>
      <c r="W86" s="562"/>
      <c r="X86" s="562"/>
      <c r="Y86" s="562"/>
      <c r="Z86" s="562"/>
      <c r="AA86" s="561">
        <f t="shared" si="28"/>
      </c>
      <c r="AB86" s="561">
        <f t="shared" si="28"/>
      </c>
      <c r="AC86" s="561">
        <f t="shared" si="23"/>
      </c>
      <c r="AD86" s="561">
        <f t="shared" si="24"/>
      </c>
      <c r="AE86" s="561">
        <f t="shared" si="24"/>
      </c>
      <c r="AF86" s="561">
        <f t="shared" si="24"/>
      </c>
      <c r="AG86" s="561">
        <f t="shared" si="24"/>
      </c>
      <c r="AH86" s="561">
        <f t="shared" si="24"/>
      </c>
      <c r="AI86" s="561">
        <f t="shared" si="24"/>
      </c>
      <c r="AJ86" s="561">
        <f t="shared" si="24"/>
      </c>
      <c r="AK86" s="561">
        <f t="shared" si="24"/>
      </c>
      <c r="AL86" s="561">
        <f t="shared" si="9"/>
      </c>
      <c r="AM86" s="561">
        <f t="shared" si="9"/>
      </c>
      <c r="AN86" s="561">
        <f t="shared" si="9"/>
      </c>
      <c r="AO86" s="561">
        <f t="shared" si="9"/>
      </c>
      <c r="AP86" s="561">
        <f t="shared" si="9"/>
      </c>
      <c r="AQ86" s="561">
        <f t="shared" si="9"/>
      </c>
      <c r="AR86" s="561">
        <f t="shared" si="9"/>
      </c>
      <c r="AS86" s="561">
        <f t="shared" si="9"/>
      </c>
      <c r="AT86" s="561">
        <f t="shared" si="9"/>
      </c>
      <c r="AU86" s="561">
        <f t="shared" si="9"/>
      </c>
      <c r="AV86" s="561">
        <f t="shared" si="9"/>
      </c>
      <c r="AW86" s="561">
        <f t="shared" si="10"/>
      </c>
      <c r="AX86" s="561">
        <f t="shared" si="10"/>
      </c>
      <c r="AY86" s="561">
        <f t="shared" si="10"/>
      </c>
      <c r="AZ86" s="561">
        <f t="shared" si="10"/>
      </c>
      <c r="BA86" s="561">
        <f t="shared" si="10"/>
      </c>
      <c r="BB86" s="561">
        <f t="shared" si="10"/>
      </c>
      <c r="BC86" s="561">
        <f t="shared" si="10"/>
      </c>
      <c r="BD86" s="561">
        <f t="shared" si="10"/>
      </c>
      <c r="BE86" s="561">
        <f t="shared" si="10"/>
      </c>
      <c r="BF86" s="192"/>
    </row>
    <row r="87" spans="2:58" ht="16.5" thickBot="1" thickTop="1">
      <c r="B87" s="57"/>
      <c r="C87" s="571">
        <f>+IF(AB$59&lt;=$G$55,AB$59,"")</f>
      </c>
      <c r="D87" s="663"/>
      <c r="E87" s="664"/>
      <c r="F87" s="665"/>
      <c r="G87" s="560"/>
      <c r="H87" s="562"/>
      <c r="I87" s="562"/>
      <c r="J87" s="562"/>
      <c r="K87" s="562"/>
      <c r="L87" s="562"/>
      <c r="M87" s="562"/>
      <c r="N87" s="562"/>
      <c r="O87" s="562"/>
      <c r="P87" s="562"/>
      <c r="Q87" s="562"/>
      <c r="R87" s="562"/>
      <c r="S87" s="562"/>
      <c r="T87" s="562"/>
      <c r="U87" s="562"/>
      <c r="V87" s="562"/>
      <c r="W87" s="562"/>
      <c r="X87" s="562"/>
      <c r="Y87" s="562"/>
      <c r="Z87" s="562"/>
      <c r="AA87" s="562"/>
      <c r="AB87" s="561">
        <f t="shared" si="28"/>
      </c>
      <c r="AC87" s="561">
        <f t="shared" si="23"/>
      </c>
      <c r="AD87" s="561">
        <f t="shared" si="24"/>
      </c>
      <c r="AE87" s="561">
        <f t="shared" si="24"/>
      </c>
      <c r="AF87" s="561">
        <f t="shared" si="24"/>
      </c>
      <c r="AG87" s="561">
        <f t="shared" si="24"/>
      </c>
      <c r="AH87" s="561">
        <f t="shared" si="24"/>
      </c>
      <c r="AI87" s="561">
        <f t="shared" si="24"/>
      </c>
      <c r="AJ87" s="561">
        <f t="shared" si="24"/>
      </c>
      <c r="AK87" s="561">
        <f t="shared" si="24"/>
      </c>
      <c r="AL87" s="561">
        <f t="shared" si="24"/>
      </c>
      <c r="AM87" s="561">
        <f t="shared" si="24"/>
      </c>
      <c r="AN87" s="561">
        <f t="shared" si="24"/>
      </c>
      <c r="AO87" s="561">
        <f t="shared" si="24"/>
      </c>
      <c r="AP87" s="561">
        <f t="shared" si="24"/>
      </c>
      <c r="AQ87" s="561">
        <f t="shared" si="24"/>
      </c>
      <c r="AR87" s="561">
        <f t="shared" si="24"/>
      </c>
      <c r="AS87" s="561">
        <f t="shared" si="24"/>
      </c>
      <c r="AT87" s="561">
        <f aca="true" t="shared" si="29" ref="AT87:BE105">IF(ISERROR($F87*$E87*EXP(-$F87*(AT$59-$C87+0.5))*$D87),"",$F87*$E87*EXP(-$F87*(AT$59-$C87+0.5))*$D87)</f>
      </c>
      <c r="AU87" s="561">
        <f t="shared" si="29"/>
      </c>
      <c r="AV87" s="561">
        <f t="shared" si="29"/>
      </c>
      <c r="AW87" s="561">
        <f t="shared" si="29"/>
      </c>
      <c r="AX87" s="561">
        <f t="shared" si="29"/>
      </c>
      <c r="AY87" s="561">
        <f t="shared" si="29"/>
      </c>
      <c r="AZ87" s="561">
        <f t="shared" si="29"/>
      </c>
      <c r="BA87" s="561">
        <f t="shared" si="29"/>
      </c>
      <c r="BB87" s="561">
        <f t="shared" si="29"/>
      </c>
      <c r="BC87" s="561">
        <f t="shared" si="29"/>
      </c>
      <c r="BD87" s="561">
        <f t="shared" si="29"/>
      </c>
      <c r="BE87" s="561">
        <f t="shared" si="29"/>
      </c>
      <c r="BF87" s="192"/>
    </row>
    <row r="88" spans="2:58" ht="16.5" thickBot="1" thickTop="1">
      <c r="B88" s="57"/>
      <c r="C88" s="571">
        <f>+IF(AC$59&lt;=$G$55,AC$59,"")</f>
      </c>
      <c r="D88" s="663"/>
      <c r="E88" s="664"/>
      <c r="F88" s="665"/>
      <c r="G88" s="560"/>
      <c r="H88" s="562"/>
      <c r="I88" s="562"/>
      <c r="J88" s="562"/>
      <c r="K88" s="562"/>
      <c r="L88" s="562"/>
      <c r="M88" s="562"/>
      <c r="N88" s="562"/>
      <c r="O88" s="562"/>
      <c r="P88" s="562"/>
      <c r="Q88" s="562"/>
      <c r="R88" s="562"/>
      <c r="S88" s="562"/>
      <c r="T88" s="562"/>
      <c r="U88" s="562"/>
      <c r="V88" s="562"/>
      <c r="W88" s="562"/>
      <c r="X88" s="562"/>
      <c r="Y88" s="562"/>
      <c r="Z88" s="562"/>
      <c r="AA88" s="562"/>
      <c r="AB88" s="562"/>
      <c r="AC88" s="561">
        <f t="shared" si="23"/>
      </c>
      <c r="AD88" s="561">
        <f t="shared" si="24"/>
      </c>
      <c r="AE88" s="561">
        <f t="shared" si="24"/>
      </c>
      <c r="AF88" s="561">
        <f t="shared" si="24"/>
      </c>
      <c r="AG88" s="561">
        <f t="shared" si="24"/>
      </c>
      <c r="AH88" s="561">
        <f t="shared" si="24"/>
      </c>
      <c r="AI88" s="561">
        <f t="shared" si="24"/>
      </c>
      <c r="AJ88" s="561">
        <f t="shared" si="24"/>
      </c>
      <c r="AK88" s="561">
        <f t="shared" si="24"/>
      </c>
      <c r="AL88" s="561">
        <f t="shared" si="24"/>
      </c>
      <c r="AM88" s="561">
        <f t="shared" si="24"/>
      </c>
      <c r="AN88" s="561">
        <f t="shared" si="24"/>
      </c>
      <c r="AO88" s="561">
        <f t="shared" si="24"/>
      </c>
      <c r="AP88" s="561">
        <f t="shared" si="24"/>
      </c>
      <c r="AQ88" s="561">
        <f t="shared" si="24"/>
      </c>
      <c r="AR88" s="561">
        <f t="shared" si="24"/>
      </c>
      <c r="AS88" s="561">
        <f t="shared" si="24"/>
      </c>
      <c r="AT88" s="561">
        <f t="shared" si="29"/>
      </c>
      <c r="AU88" s="561">
        <f t="shared" si="29"/>
      </c>
      <c r="AV88" s="561">
        <f t="shared" si="29"/>
      </c>
      <c r="AW88" s="561">
        <f t="shared" si="29"/>
      </c>
      <c r="AX88" s="561">
        <f t="shared" si="29"/>
      </c>
      <c r="AY88" s="561">
        <f t="shared" si="29"/>
      </c>
      <c r="AZ88" s="561">
        <f t="shared" si="29"/>
      </c>
      <c r="BA88" s="561">
        <f t="shared" si="29"/>
      </c>
      <c r="BB88" s="561">
        <f t="shared" si="29"/>
      </c>
      <c r="BC88" s="561">
        <f t="shared" si="29"/>
      </c>
      <c r="BD88" s="561">
        <f t="shared" si="29"/>
      </c>
      <c r="BE88" s="561">
        <f t="shared" si="29"/>
      </c>
      <c r="BF88" s="192"/>
    </row>
    <row r="89" spans="2:58" ht="16.5" thickBot="1" thickTop="1">
      <c r="B89" s="57"/>
      <c r="C89" s="571">
        <f>+IF(AD$59&lt;=$G$55,AD$59,"")</f>
      </c>
      <c r="D89" s="663"/>
      <c r="E89" s="664"/>
      <c r="F89" s="665"/>
      <c r="G89" s="560"/>
      <c r="H89" s="562"/>
      <c r="I89" s="562"/>
      <c r="J89" s="562"/>
      <c r="K89" s="562"/>
      <c r="L89" s="562"/>
      <c r="M89" s="562"/>
      <c r="N89" s="562"/>
      <c r="O89" s="562"/>
      <c r="P89" s="562"/>
      <c r="Q89" s="562"/>
      <c r="R89" s="562"/>
      <c r="S89" s="562"/>
      <c r="T89" s="562"/>
      <c r="U89" s="562"/>
      <c r="V89" s="562"/>
      <c r="W89" s="562"/>
      <c r="X89" s="562"/>
      <c r="Y89" s="562"/>
      <c r="Z89" s="562"/>
      <c r="AA89" s="562"/>
      <c r="AB89" s="562"/>
      <c r="AC89" s="562"/>
      <c r="AD89" s="561">
        <f t="shared" si="24"/>
      </c>
      <c r="AE89" s="561">
        <f t="shared" si="24"/>
      </c>
      <c r="AF89" s="561">
        <f t="shared" si="24"/>
      </c>
      <c r="AG89" s="561">
        <f t="shared" si="24"/>
      </c>
      <c r="AH89" s="561">
        <f t="shared" si="24"/>
      </c>
      <c r="AI89" s="561">
        <f t="shared" si="24"/>
      </c>
      <c r="AJ89" s="561">
        <f t="shared" si="24"/>
      </c>
      <c r="AK89" s="561">
        <f t="shared" si="24"/>
      </c>
      <c r="AL89" s="561">
        <f t="shared" si="24"/>
      </c>
      <c r="AM89" s="561">
        <f t="shared" si="24"/>
      </c>
      <c r="AN89" s="561">
        <f t="shared" si="24"/>
      </c>
      <c r="AO89" s="561">
        <f t="shared" si="24"/>
      </c>
      <c r="AP89" s="561">
        <f t="shared" si="24"/>
      </c>
      <c r="AQ89" s="561">
        <f t="shared" si="24"/>
      </c>
      <c r="AR89" s="561">
        <f t="shared" si="24"/>
      </c>
      <c r="AS89" s="561">
        <f t="shared" si="24"/>
      </c>
      <c r="AT89" s="561">
        <f t="shared" si="29"/>
      </c>
      <c r="AU89" s="561">
        <f t="shared" si="29"/>
      </c>
      <c r="AV89" s="561">
        <f t="shared" si="29"/>
      </c>
      <c r="AW89" s="561">
        <f t="shared" si="29"/>
      </c>
      <c r="AX89" s="561">
        <f t="shared" si="29"/>
      </c>
      <c r="AY89" s="561">
        <f t="shared" si="29"/>
      </c>
      <c r="AZ89" s="561">
        <f t="shared" si="29"/>
      </c>
      <c r="BA89" s="561">
        <f t="shared" si="29"/>
      </c>
      <c r="BB89" s="561">
        <f t="shared" si="29"/>
      </c>
      <c r="BC89" s="561">
        <f t="shared" si="29"/>
      </c>
      <c r="BD89" s="561">
        <f t="shared" si="29"/>
      </c>
      <c r="BE89" s="561">
        <f t="shared" si="29"/>
      </c>
      <c r="BF89" s="192"/>
    </row>
    <row r="90" spans="2:58" ht="16.5" thickBot="1" thickTop="1">
      <c r="B90" s="57"/>
      <c r="C90" s="571">
        <f>+IF(AE$59&lt;=$G$55,AE$59,"")</f>
      </c>
      <c r="D90" s="663"/>
      <c r="E90" s="664"/>
      <c r="F90" s="665"/>
      <c r="G90" s="560"/>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1">
        <f t="shared" si="24"/>
      </c>
      <c r="AF90" s="561">
        <f t="shared" si="24"/>
      </c>
      <c r="AG90" s="561">
        <f t="shared" si="24"/>
      </c>
      <c r="AH90" s="561">
        <f t="shared" si="24"/>
      </c>
      <c r="AI90" s="561">
        <f t="shared" si="24"/>
      </c>
      <c r="AJ90" s="561">
        <f t="shared" si="24"/>
      </c>
      <c r="AK90" s="561">
        <f t="shared" si="24"/>
      </c>
      <c r="AL90" s="561">
        <f t="shared" si="24"/>
      </c>
      <c r="AM90" s="561">
        <f t="shared" si="24"/>
      </c>
      <c r="AN90" s="561">
        <f t="shared" si="24"/>
      </c>
      <c r="AO90" s="561">
        <f t="shared" si="24"/>
      </c>
      <c r="AP90" s="561">
        <f t="shared" si="24"/>
      </c>
      <c r="AQ90" s="561">
        <f t="shared" si="24"/>
      </c>
      <c r="AR90" s="561">
        <f t="shared" si="24"/>
      </c>
      <c r="AS90" s="561">
        <f t="shared" si="24"/>
      </c>
      <c r="AT90" s="561">
        <f t="shared" si="29"/>
      </c>
      <c r="AU90" s="561">
        <f t="shared" si="29"/>
      </c>
      <c r="AV90" s="561">
        <f t="shared" si="29"/>
      </c>
      <c r="AW90" s="561">
        <f t="shared" si="29"/>
      </c>
      <c r="AX90" s="561">
        <f t="shared" si="29"/>
      </c>
      <c r="AY90" s="561">
        <f t="shared" si="29"/>
      </c>
      <c r="AZ90" s="561">
        <f t="shared" si="29"/>
      </c>
      <c r="BA90" s="561">
        <f t="shared" si="29"/>
      </c>
      <c r="BB90" s="561">
        <f t="shared" si="29"/>
      </c>
      <c r="BC90" s="561">
        <f t="shared" si="29"/>
      </c>
      <c r="BD90" s="561">
        <f t="shared" si="29"/>
      </c>
      <c r="BE90" s="561">
        <f t="shared" si="29"/>
      </c>
      <c r="BF90" s="192"/>
    </row>
    <row r="91" spans="2:58" ht="16.5" thickBot="1" thickTop="1">
      <c r="B91" s="57"/>
      <c r="C91" s="571">
        <f>+IF(AF$59&lt;=$G$55,AF$59,"")</f>
      </c>
      <c r="D91" s="663"/>
      <c r="E91" s="664"/>
      <c r="F91" s="665"/>
      <c r="G91" s="560"/>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1">
        <f t="shared" si="24"/>
      </c>
      <c r="AG91" s="561">
        <f t="shared" si="24"/>
      </c>
      <c r="AH91" s="561">
        <f t="shared" si="24"/>
      </c>
      <c r="AI91" s="561">
        <f t="shared" si="24"/>
      </c>
      <c r="AJ91" s="561">
        <f t="shared" si="24"/>
      </c>
      <c r="AK91" s="561">
        <f t="shared" si="24"/>
      </c>
      <c r="AL91" s="561">
        <f t="shared" si="24"/>
      </c>
      <c r="AM91" s="561">
        <f t="shared" si="24"/>
      </c>
      <c r="AN91" s="561">
        <f t="shared" si="24"/>
      </c>
      <c r="AO91" s="561">
        <f t="shared" si="24"/>
      </c>
      <c r="AP91" s="561">
        <f t="shared" si="24"/>
      </c>
      <c r="AQ91" s="561">
        <f t="shared" si="24"/>
      </c>
      <c r="AR91" s="561">
        <f t="shared" si="24"/>
      </c>
      <c r="AS91" s="561">
        <f t="shared" si="24"/>
      </c>
      <c r="AT91" s="561">
        <f t="shared" si="29"/>
      </c>
      <c r="AU91" s="561">
        <f t="shared" si="29"/>
      </c>
      <c r="AV91" s="561">
        <f t="shared" si="29"/>
      </c>
      <c r="AW91" s="561">
        <f t="shared" si="29"/>
      </c>
      <c r="AX91" s="561">
        <f t="shared" si="29"/>
      </c>
      <c r="AY91" s="561">
        <f t="shared" si="29"/>
      </c>
      <c r="AZ91" s="561">
        <f t="shared" si="29"/>
      </c>
      <c r="BA91" s="561">
        <f t="shared" si="29"/>
      </c>
      <c r="BB91" s="561">
        <f t="shared" si="29"/>
      </c>
      <c r="BC91" s="561">
        <f t="shared" si="29"/>
      </c>
      <c r="BD91" s="561">
        <f t="shared" si="29"/>
      </c>
      <c r="BE91" s="561">
        <f t="shared" si="29"/>
      </c>
      <c r="BF91" s="192"/>
    </row>
    <row r="92" spans="2:58" ht="16.5" thickBot="1" thickTop="1">
      <c r="B92" s="57"/>
      <c r="C92" s="571">
        <f>+IF(AG$59&lt;=$G$55,AG$59,"")</f>
      </c>
      <c r="D92" s="663"/>
      <c r="E92" s="664"/>
      <c r="F92" s="665"/>
      <c r="G92" s="560"/>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1">
        <f t="shared" si="24"/>
      </c>
      <c r="AH92" s="561">
        <f t="shared" si="24"/>
      </c>
      <c r="AI92" s="561">
        <f t="shared" si="24"/>
      </c>
      <c r="AJ92" s="561">
        <f t="shared" si="24"/>
      </c>
      <c r="AK92" s="561">
        <f t="shared" si="24"/>
      </c>
      <c r="AL92" s="561">
        <f t="shared" si="24"/>
      </c>
      <c r="AM92" s="561">
        <f t="shared" si="24"/>
      </c>
      <c r="AN92" s="561">
        <f t="shared" si="24"/>
      </c>
      <c r="AO92" s="561">
        <f t="shared" si="24"/>
      </c>
      <c r="AP92" s="561">
        <f t="shared" si="24"/>
      </c>
      <c r="AQ92" s="561">
        <f t="shared" si="24"/>
      </c>
      <c r="AR92" s="561">
        <f t="shared" si="24"/>
      </c>
      <c r="AS92" s="561">
        <f t="shared" si="24"/>
      </c>
      <c r="AT92" s="561">
        <f t="shared" si="29"/>
      </c>
      <c r="AU92" s="561">
        <f t="shared" si="29"/>
      </c>
      <c r="AV92" s="561">
        <f t="shared" si="29"/>
      </c>
      <c r="AW92" s="561">
        <f t="shared" si="29"/>
      </c>
      <c r="AX92" s="561">
        <f t="shared" si="29"/>
      </c>
      <c r="AY92" s="561">
        <f t="shared" si="29"/>
      </c>
      <c r="AZ92" s="561">
        <f t="shared" si="29"/>
      </c>
      <c r="BA92" s="561">
        <f t="shared" si="29"/>
      </c>
      <c r="BB92" s="561">
        <f t="shared" si="29"/>
      </c>
      <c r="BC92" s="561">
        <f t="shared" si="29"/>
      </c>
      <c r="BD92" s="561">
        <f t="shared" si="29"/>
      </c>
      <c r="BE92" s="561">
        <f t="shared" si="29"/>
      </c>
      <c r="BF92" s="192"/>
    </row>
    <row r="93" spans="2:58" ht="16.5" thickBot="1" thickTop="1">
      <c r="B93" s="57"/>
      <c r="C93" s="571">
        <f>+IF(AH$59&lt;=$G$55,AH$59,"")</f>
      </c>
      <c r="D93" s="663"/>
      <c r="E93" s="664"/>
      <c r="F93" s="665"/>
      <c r="G93" s="560"/>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1">
        <f t="shared" si="24"/>
      </c>
      <c r="AI93" s="561">
        <f t="shared" si="24"/>
      </c>
      <c r="AJ93" s="561">
        <f t="shared" si="24"/>
      </c>
      <c r="AK93" s="561">
        <f t="shared" si="24"/>
      </c>
      <c r="AL93" s="561">
        <f t="shared" si="24"/>
      </c>
      <c r="AM93" s="561">
        <f t="shared" si="24"/>
      </c>
      <c r="AN93" s="561">
        <f t="shared" si="24"/>
      </c>
      <c r="AO93" s="561">
        <f t="shared" si="24"/>
      </c>
      <c r="AP93" s="561">
        <f t="shared" si="24"/>
      </c>
      <c r="AQ93" s="561">
        <f t="shared" si="24"/>
      </c>
      <c r="AR93" s="561">
        <f t="shared" si="24"/>
      </c>
      <c r="AS93" s="561">
        <f t="shared" si="24"/>
      </c>
      <c r="AT93" s="561">
        <f t="shared" si="29"/>
      </c>
      <c r="AU93" s="561">
        <f t="shared" si="29"/>
      </c>
      <c r="AV93" s="561">
        <f t="shared" si="29"/>
      </c>
      <c r="AW93" s="561">
        <f t="shared" si="29"/>
      </c>
      <c r="AX93" s="561">
        <f t="shared" si="29"/>
      </c>
      <c r="AY93" s="561">
        <f t="shared" si="29"/>
      </c>
      <c r="AZ93" s="561">
        <f t="shared" si="29"/>
      </c>
      <c r="BA93" s="561">
        <f t="shared" si="29"/>
      </c>
      <c r="BB93" s="561">
        <f t="shared" si="29"/>
      </c>
      <c r="BC93" s="561">
        <f t="shared" si="29"/>
      </c>
      <c r="BD93" s="561">
        <f t="shared" si="29"/>
      </c>
      <c r="BE93" s="561">
        <f t="shared" si="29"/>
      </c>
      <c r="BF93" s="192"/>
    </row>
    <row r="94" spans="2:58" ht="16.5" thickBot="1" thickTop="1">
      <c r="B94" s="57"/>
      <c r="C94" s="571">
        <f>+IF(AI$59&lt;=$G$55,AI$59,"")</f>
      </c>
      <c r="D94" s="663"/>
      <c r="E94" s="664"/>
      <c r="F94" s="665"/>
      <c r="G94" s="560"/>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1">
        <f t="shared" si="24"/>
      </c>
      <c r="AJ94" s="561">
        <f t="shared" si="24"/>
      </c>
      <c r="AK94" s="561">
        <f t="shared" si="24"/>
      </c>
      <c r="AL94" s="561">
        <f t="shared" si="24"/>
      </c>
      <c r="AM94" s="561">
        <f t="shared" si="24"/>
      </c>
      <c r="AN94" s="561">
        <f t="shared" si="24"/>
      </c>
      <c r="AO94" s="561">
        <f t="shared" si="24"/>
      </c>
      <c r="AP94" s="561">
        <f t="shared" si="24"/>
      </c>
      <c r="AQ94" s="561">
        <f t="shared" si="24"/>
      </c>
      <c r="AR94" s="561">
        <f t="shared" si="24"/>
      </c>
      <c r="AS94" s="561">
        <f t="shared" si="24"/>
      </c>
      <c r="AT94" s="561">
        <f t="shared" si="29"/>
      </c>
      <c r="AU94" s="561">
        <f t="shared" si="29"/>
      </c>
      <c r="AV94" s="561">
        <f t="shared" si="29"/>
      </c>
      <c r="AW94" s="561">
        <f t="shared" si="29"/>
      </c>
      <c r="AX94" s="561">
        <f t="shared" si="29"/>
      </c>
      <c r="AY94" s="561">
        <f t="shared" si="29"/>
      </c>
      <c r="AZ94" s="561">
        <f t="shared" si="29"/>
      </c>
      <c r="BA94" s="561">
        <f t="shared" si="29"/>
      </c>
      <c r="BB94" s="561">
        <f t="shared" si="29"/>
      </c>
      <c r="BC94" s="561">
        <f t="shared" si="29"/>
      </c>
      <c r="BD94" s="561">
        <f t="shared" si="29"/>
      </c>
      <c r="BE94" s="561">
        <f t="shared" si="29"/>
      </c>
      <c r="BF94" s="192"/>
    </row>
    <row r="95" spans="2:58" ht="18" customHeight="1" thickBot="1" thickTop="1">
      <c r="B95" s="57"/>
      <c r="C95" s="571">
        <f>+IF(AJ$59&lt;=$G$55,AJ$59,"")</f>
      </c>
      <c r="D95" s="663"/>
      <c r="E95" s="664"/>
      <c r="F95" s="665"/>
      <c r="G95" s="560"/>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2"/>
      <c r="AJ95" s="561">
        <f aca="true" t="shared" si="30" ref="AJ95:AS104">IF(ISERROR($F95*$E95*EXP(-$F95*(AJ$59-$C95+0.5))*$D95),"",$F95*$E95*EXP(-$F95*(AJ$59-$C95+0.5))*$D95)</f>
      </c>
      <c r="AK95" s="561">
        <f t="shared" si="30"/>
      </c>
      <c r="AL95" s="561">
        <f t="shared" si="30"/>
      </c>
      <c r="AM95" s="561">
        <f t="shared" si="30"/>
      </c>
      <c r="AN95" s="561">
        <f t="shared" si="30"/>
      </c>
      <c r="AO95" s="561">
        <f t="shared" si="30"/>
      </c>
      <c r="AP95" s="561">
        <f t="shared" si="30"/>
      </c>
      <c r="AQ95" s="561">
        <f t="shared" si="30"/>
      </c>
      <c r="AR95" s="561">
        <f t="shared" si="30"/>
      </c>
      <c r="AS95" s="561">
        <f t="shared" si="30"/>
      </c>
      <c r="AT95" s="561">
        <f t="shared" si="29"/>
      </c>
      <c r="AU95" s="561">
        <f t="shared" si="29"/>
      </c>
      <c r="AV95" s="561">
        <f t="shared" si="29"/>
      </c>
      <c r="AW95" s="561">
        <f t="shared" si="29"/>
      </c>
      <c r="AX95" s="561">
        <f t="shared" si="29"/>
      </c>
      <c r="AY95" s="561">
        <f t="shared" si="29"/>
      </c>
      <c r="AZ95" s="561">
        <f t="shared" si="29"/>
      </c>
      <c r="BA95" s="561">
        <f t="shared" si="29"/>
      </c>
      <c r="BB95" s="561">
        <f t="shared" si="29"/>
      </c>
      <c r="BC95" s="561">
        <f t="shared" si="29"/>
      </c>
      <c r="BD95" s="561">
        <f t="shared" si="29"/>
      </c>
      <c r="BE95" s="561">
        <f t="shared" si="29"/>
      </c>
      <c r="BF95" s="192"/>
    </row>
    <row r="96" spans="2:58" ht="18" customHeight="1" thickBot="1" thickTop="1">
      <c r="B96" s="57"/>
      <c r="C96" s="571">
        <f>+IF(AK$59&lt;=$G$55,AK$59,"")</f>
      </c>
      <c r="D96" s="663"/>
      <c r="E96" s="664"/>
      <c r="F96" s="665"/>
      <c r="G96" s="560"/>
      <c r="H96" s="562"/>
      <c r="I96" s="562"/>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2"/>
      <c r="AJ96" s="562"/>
      <c r="AK96" s="561">
        <f t="shared" si="30"/>
      </c>
      <c r="AL96" s="561">
        <f t="shared" si="30"/>
      </c>
      <c r="AM96" s="561">
        <f t="shared" si="30"/>
      </c>
      <c r="AN96" s="561">
        <f t="shared" si="30"/>
      </c>
      <c r="AO96" s="561">
        <f t="shared" si="30"/>
      </c>
      <c r="AP96" s="561">
        <f t="shared" si="30"/>
      </c>
      <c r="AQ96" s="561">
        <f t="shared" si="30"/>
      </c>
      <c r="AR96" s="561">
        <f t="shared" si="30"/>
      </c>
      <c r="AS96" s="561">
        <f t="shared" si="30"/>
      </c>
      <c r="AT96" s="561">
        <f t="shared" si="29"/>
      </c>
      <c r="AU96" s="561">
        <f t="shared" si="29"/>
      </c>
      <c r="AV96" s="561">
        <f t="shared" si="29"/>
      </c>
      <c r="AW96" s="561">
        <f t="shared" si="29"/>
      </c>
      <c r="AX96" s="561">
        <f t="shared" si="29"/>
      </c>
      <c r="AY96" s="561">
        <f t="shared" si="29"/>
      </c>
      <c r="AZ96" s="561">
        <f t="shared" si="29"/>
      </c>
      <c r="BA96" s="561">
        <f t="shared" si="29"/>
      </c>
      <c r="BB96" s="561">
        <f t="shared" si="29"/>
      </c>
      <c r="BC96" s="561">
        <f t="shared" si="29"/>
      </c>
      <c r="BD96" s="561">
        <f t="shared" si="29"/>
      </c>
      <c r="BE96" s="561">
        <f t="shared" si="29"/>
      </c>
      <c r="BF96" s="192"/>
    </row>
    <row r="97" spans="2:58" ht="18" customHeight="1" thickBot="1" thickTop="1">
      <c r="B97" s="57"/>
      <c r="C97" s="571">
        <f>+IF(AL$59&lt;=$G$55,AL$59,"")</f>
      </c>
      <c r="D97" s="663"/>
      <c r="E97" s="664"/>
      <c r="F97" s="665"/>
      <c r="G97" s="560"/>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2"/>
      <c r="AL97" s="561">
        <f t="shared" si="30"/>
      </c>
      <c r="AM97" s="561">
        <f t="shared" si="30"/>
      </c>
      <c r="AN97" s="561">
        <f t="shared" si="30"/>
      </c>
      <c r="AO97" s="561">
        <f t="shared" si="30"/>
      </c>
      <c r="AP97" s="561">
        <f t="shared" si="30"/>
      </c>
      <c r="AQ97" s="561">
        <f t="shared" si="30"/>
      </c>
      <c r="AR97" s="561">
        <f t="shared" si="30"/>
      </c>
      <c r="AS97" s="561">
        <f t="shared" si="30"/>
      </c>
      <c r="AT97" s="561">
        <f t="shared" si="29"/>
      </c>
      <c r="AU97" s="561">
        <f t="shared" si="29"/>
      </c>
      <c r="AV97" s="561">
        <f t="shared" si="29"/>
      </c>
      <c r="AW97" s="561">
        <f t="shared" si="29"/>
      </c>
      <c r="AX97" s="561">
        <f t="shared" si="29"/>
      </c>
      <c r="AY97" s="561">
        <f t="shared" si="29"/>
      </c>
      <c r="AZ97" s="561">
        <f t="shared" si="29"/>
      </c>
      <c r="BA97" s="561">
        <f t="shared" si="29"/>
      </c>
      <c r="BB97" s="561">
        <f t="shared" si="29"/>
      </c>
      <c r="BC97" s="561">
        <f t="shared" si="29"/>
      </c>
      <c r="BD97" s="561">
        <f t="shared" si="29"/>
      </c>
      <c r="BE97" s="561">
        <f t="shared" si="29"/>
      </c>
      <c r="BF97" s="192"/>
    </row>
    <row r="98" spans="2:58" ht="18" customHeight="1" thickBot="1" thickTop="1">
      <c r="B98" s="57"/>
      <c r="C98" s="571">
        <f>+IF(AM$59&lt;=$G$55,AM$59,"")</f>
      </c>
      <c r="D98" s="663"/>
      <c r="E98" s="664"/>
      <c r="F98" s="665"/>
      <c r="G98" s="560"/>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62"/>
      <c r="AL98" s="562"/>
      <c r="AM98" s="561">
        <f t="shared" si="30"/>
      </c>
      <c r="AN98" s="561">
        <f t="shared" si="30"/>
      </c>
      <c r="AO98" s="561">
        <f t="shared" si="30"/>
      </c>
      <c r="AP98" s="561">
        <f t="shared" si="30"/>
      </c>
      <c r="AQ98" s="561">
        <f t="shared" si="30"/>
      </c>
      <c r="AR98" s="561">
        <f t="shared" si="30"/>
      </c>
      <c r="AS98" s="561">
        <f t="shared" si="30"/>
      </c>
      <c r="AT98" s="561">
        <f t="shared" si="29"/>
      </c>
      <c r="AU98" s="561">
        <f t="shared" si="29"/>
      </c>
      <c r="AV98" s="561">
        <f t="shared" si="29"/>
      </c>
      <c r="AW98" s="561">
        <f t="shared" si="29"/>
      </c>
      <c r="AX98" s="561">
        <f t="shared" si="29"/>
      </c>
      <c r="AY98" s="561">
        <f t="shared" si="29"/>
      </c>
      <c r="AZ98" s="561">
        <f t="shared" si="29"/>
      </c>
      <c r="BA98" s="561">
        <f t="shared" si="29"/>
      </c>
      <c r="BB98" s="561">
        <f t="shared" si="29"/>
      </c>
      <c r="BC98" s="561">
        <f t="shared" si="29"/>
      </c>
      <c r="BD98" s="561">
        <f t="shared" si="29"/>
      </c>
      <c r="BE98" s="561">
        <f t="shared" si="29"/>
      </c>
      <c r="BF98" s="192"/>
    </row>
    <row r="99" spans="2:58" ht="18" customHeight="1" thickBot="1" thickTop="1">
      <c r="B99" s="57"/>
      <c r="C99" s="571">
        <f>+IF(AN$59&lt;=$G$55,AN$59,"")</f>
      </c>
      <c r="D99" s="663"/>
      <c r="E99" s="664"/>
      <c r="F99" s="665"/>
      <c r="G99" s="560"/>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1">
        <f t="shared" si="30"/>
      </c>
      <c r="AO99" s="561">
        <f t="shared" si="30"/>
      </c>
      <c r="AP99" s="561">
        <f t="shared" si="30"/>
      </c>
      <c r="AQ99" s="561">
        <f t="shared" si="30"/>
      </c>
      <c r="AR99" s="561">
        <f t="shared" si="30"/>
      </c>
      <c r="AS99" s="561">
        <f t="shared" si="30"/>
      </c>
      <c r="AT99" s="561">
        <f t="shared" si="29"/>
      </c>
      <c r="AU99" s="561">
        <f t="shared" si="29"/>
      </c>
      <c r="AV99" s="561">
        <f t="shared" si="29"/>
      </c>
      <c r="AW99" s="561">
        <f t="shared" si="29"/>
      </c>
      <c r="AX99" s="561">
        <f t="shared" si="29"/>
      </c>
      <c r="AY99" s="561">
        <f t="shared" si="29"/>
      </c>
      <c r="AZ99" s="561">
        <f t="shared" si="29"/>
      </c>
      <c r="BA99" s="561">
        <f t="shared" si="29"/>
      </c>
      <c r="BB99" s="561">
        <f t="shared" si="29"/>
      </c>
      <c r="BC99" s="561">
        <f t="shared" si="29"/>
      </c>
      <c r="BD99" s="561">
        <f t="shared" si="29"/>
      </c>
      <c r="BE99" s="561">
        <f t="shared" si="29"/>
      </c>
      <c r="BF99" s="192"/>
    </row>
    <row r="100" spans="2:58" ht="18" customHeight="1" thickBot="1" thickTop="1">
      <c r="B100" s="57"/>
      <c r="C100" s="571">
        <f>+IF(AO$59&lt;=$G$55,AO$59,"")</f>
      </c>
      <c r="D100" s="663"/>
      <c r="E100" s="664"/>
      <c r="F100" s="665"/>
      <c r="G100" s="560"/>
      <c r="H100" s="562"/>
      <c r="I100" s="562"/>
      <c r="J100" s="562"/>
      <c r="K100" s="562"/>
      <c r="L100" s="562"/>
      <c r="M100" s="562"/>
      <c r="N100" s="562"/>
      <c r="O100" s="562"/>
      <c r="P100" s="562"/>
      <c r="Q100" s="562"/>
      <c r="R100" s="562"/>
      <c r="S100" s="562"/>
      <c r="T100" s="562"/>
      <c r="U100" s="562"/>
      <c r="V100" s="562"/>
      <c r="W100" s="562"/>
      <c r="X100" s="562"/>
      <c r="Y100" s="562"/>
      <c r="Z100" s="562"/>
      <c r="AA100" s="562"/>
      <c r="AB100" s="562"/>
      <c r="AC100" s="562"/>
      <c r="AD100" s="562"/>
      <c r="AE100" s="562"/>
      <c r="AF100" s="562"/>
      <c r="AG100" s="562"/>
      <c r="AH100" s="562"/>
      <c r="AI100" s="562"/>
      <c r="AJ100" s="562"/>
      <c r="AK100" s="562"/>
      <c r="AL100" s="562"/>
      <c r="AM100" s="562"/>
      <c r="AN100" s="562"/>
      <c r="AO100" s="561">
        <f t="shared" si="30"/>
      </c>
      <c r="AP100" s="561">
        <f t="shared" si="30"/>
      </c>
      <c r="AQ100" s="561">
        <f t="shared" si="30"/>
      </c>
      <c r="AR100" s="561">
        <f t="shared" si="30"/>
      </c>
      <c r="AS100" s="561">
        <f t="shared" si="30"/>
      </c>
      <c r="AT100" s="561">
        <f t="shared" si="29"/>
      </c>
      <c r="AU100" s="561">
        <f t="shared" si="29"/>
      </c>
      <c r="AV100" s="561">
        <f t="shared" si="29"/>
      </c>
      <c r="AW100" s="561">
        <f t="shared" si="29"/>
      </c>
      <c r="AX100" s="561">
        <f t="shared" si="29"/>
      </c>
      <c r="AY100" s="561">
        <f t="shared" si="29"/>
      </c>
      <c r="AZ100" s="561">
        <f t="shared" si="29"/>
      </c>
      <c r="BA100" s="561">
        <f t="shared" si="29"/>
      </c>
      <c r="BB100" s="561">
        <f t="shared" si="29"/>
      </c>
      <c r="BC100" s="561">
        <f t="shared" si="29"/>
      </c>
      <c r="BD100" s="561">
        <f t="shared" si="29"/>
      </c>
      <c r="BE100" s="561">
        <f t="shared" si="29"/>
      </c>
      <c r="BF100" s="192"/>
    </row>
    <row r="101" spans="2:58" ht="18" customHeight="1" thickBot="1" thickTop="1">
      <c r="B101" s="57"/>
      <c r="C101" s="571">
        <f>+IF(AP$59&lt;=$G$55,AP$59,"")</f>
      </c>
      <c r="D101" s="663"/>
      <c r="E101" s="664"/>
      <c r="F101" s="665"/>
      <c r="G101" s="560"/>
      <c r="H101" s="562"/>
      <c r="I101" s="562"/>
      <c r="J101" s="562"/>
      <c r="K101" s="562"/>
      <c r="L101" s="562"/>
      <c r="M101" s="562"/>
      <c r="N101" s="562"/>
      <c r="O101" s="562"/>
      <c r="P101" s="562"/>
      <c r="Q101" s="562"/>
      <c r="R101" s="562"/>
      <c r="S101" s="562"/>
      <c r="T101" s="562"/>
      <c r="U101" s="562"/>
      <c r="V101" s="562"/>
      <c r="W101" s="562"/>
      <c r="X101" s="562"/>
      <c r="Y101" s="562"/>
      <c r="Z101" s="562"/>
      <c r="AA101" s="562"/>
      <c r="AB101" s="562"/>
      <c r="AC101" s="562"/>
      <c r="AD101" s="562"/>
      <c r="AE101" s="562"/>
      <c r="AF101" s="562"/>
      <c r="AG101" s="562"/>
      <c r="AH101" s="562"/>
      <c r="AI101" s="562"/>
      <c r="AJ101" s="562"/>
      <c r="AK101" s="562"/>
      <c r="AL101" s="562"/>
      <c r="AM101" s="562"/>
      <c r="AN101" s="562"/>
      <c r="AO101" s="562"/>
      <c r="AP101" s="561">
        <f t="shared" si="30"/>
      </c>
      <c r="AQ101" s="561">
        <f t="shared" si="30"/>
      </c>
      <c r="AR101" s="561">
        <f t="shared" si="30"/>
      </c>
      <c r="AS101" s="561">
        <f t="shared" si="30"/>
      </c>
      <c r="AT101" s="561">
        <f t="shared" si="29"/>
      </c>
      <c r="AU101" s="561">
        <f t="shared" si="29"/>
      </c>
      <c r="AV101" s="561">
        <f t="shared" si="29"/>
      </c>
      <c r="AW101" s="561">
        <f t="shared" si="29"/>
      </c>
      <c r="AX101" s="561">
        <f t="shared" si="29"/>
      </c>
      <c r="AY101" s="561">
        <f t="shared" si="29"/>
      </c>
      <c r="AZ101" s="561">
        <f t="shared" si="29"/>
      </c>
      <c r="BA101" s="561">
        <f t="shared" si="29"/>
      </c>
      <c r="BB101" s="561">
        <f t="shared" si="29"/>
      </c>
      <c r="BC101" s="561">
        <f t="shared" si="29"/>
      </c>
      <c r="BD101" s="561">
        <f t="shared" si="29"/>
      </c>
      <c r="BE101" s="561">
        <f t="shared" si="29"/>
      </c>
      <c r="BF101" s="192"/>
    </row>
    <row r="102" spans="2:58" ht="18" customHeight="1" thickBot="1" thickTop="1">
      <c r="B102" s="57"/>
      <c r="C102" s="571">
        <f>+IF(AQ$59&lt;=$G$55,AQ$59,"")</f>
      </c>
      <c r="D102" s="663"/>
      <c r="E102" s="664"/>
      <c r="F102" s="665"/>
      <c r="G102" s="560"/>
      <c r="H102" s="562"/>
      <c r="I102" s="562"/>
      <c r="J102" s="562"/>
      <c r="K102" s="562"/>
      <c r="L102" s="562"/>
      <c r="M102" s="562"/>
      <c r="N102" s="562"/>
      <c r="O102" s="562"/>
      <c r="P102" s="562"/>
      <c r="Q102" s="562"/>
      <c r="R102" s="562"/>
      <c r="S102" s="562"/>
      <c r="T102" s="562"/>
      <c r="U102" s="562"/>
      <c r="V102" s="562"/>
      <c r="W102" s="562"/>
      <c r="X102" s="562"/>
      <c r="Y102" s="562"/>
      <c r="Z102" s="562"/>
      <c r="AA102" s="562"/>
      <c r="AB102" s="562"/>
      <c r="AC102" s="562"/>
      <c r="AD102" s="562"/>
      <c r="AE102" s="562"/>
      <c r="AF102" s="562"/>
      <c r="AG102" s="562"/>
      <c r="AH102" s="562"/>
      <c r="AI102" s="562"/>
      <c r="AJ102" s="562"/>
      <c r="AK102" s="562"/>
      <c r="AL102" s="562"/>
      <c r="AM102" s="562"/>
      <c r="AN102" s="562"/>
      <c r="AO102" s="562"/>
      <c r="AP102" s="562"/>
      <c r="AQ102" s="561">
        <f t="shared" si="30"/>
      </c>
      <c r="AR102" s="561">
        <f t="shared" si="30"/>
      </c>
      <c r="AS102" s="561">
        <f t="shared" si="30"/>
      </c>
      <c r="AT102" s="561">
        <f t="shared" si="29"/>
      </c>
      <c r="AU102" s="561">
        <f t="shared" si="29"/>
      </c>
      <c r="AV102" s="561">
        <f t="shared" si="29"/>
      </c>
      <c r="AW102" s="561">
        <f t="shared" si="29"/>
      </c>
      <c r="AX102" s="561">
        <f t="shared" si="29"/>
      </c>
      <c r="AY102" s="561">
        <f t="shared" si="29"/>
      </c>
      <c r="AZ102" s="561">
        <f t="shared" si="29"/>
      </c>
      <c r="BA102" s="561">
        <f t="shared" si="29"/>
      </c>
      <c r="BB102" s="561">
        <f t="shared" si="29"/>
      </c>
      <c r="BC102" s="561">
        <f t="shared" si="29"/>
      </c>
      <c r="BD102" s="561">
        <f t="shared" si="29"/>
      </c>
      <c r="BE102" s="561">
        <f t="shared" si="29"/>
      </c>
      <c r="BF102" s="192"/>
    </row>
    <row r="103" spans="2:58" ht="18" customHeight="1" thickBot="1" thickTop="1">
      <c r="B103" s="57"/>
      <c r="C103" s="571">
        <f>+IF(AR$59&lt;=$G$55,AR$59,"")</f>
      </c>
      <c r="D103" s="663"/>
      <c r="E103" s="664"/>
      <c r="F103" s="665"/>
      <c r="G103" s="560"/>
      <c r="H103" s="562"/>
      <c r="I103" s="562"/>
      <c r="J103" s="562"/>
      <c r="K103" s="562"/>
      <c r="L103" s="562"/>
      <c r="M103" s="562"/>
      <c r="N103" s="562"/>
      <c r="O103" s="562"/>
      <c r="P103" s="562"/>
      <c r="Q103" s="562"/>
      <c r="R103" s="562"/>
      <c r="S103" s="562"/>
      <c r="T103" s="562"/>
      <c r="U103" s="562"/>
      <c r="V103" s="562"/>
      <c r="W103" s="562"/>
      <c r="X103" s="562"/>
      <c r="Y103" s="562"/>
      <c r="Z103" s="562"/>
      <c r="AA103" s="562"/>
      <c r="AB103" s="562"/>
      <c r="AC103" s="562"/>
      <c r="AD103" s="562"/>
      <c r="AE103" s="562"/>
      <c r="AF103" s="562"/>
      <c r="AG103" s="562"/>
      <c r="AH103" s="562"/>
      <c r="AI103" s="562"/>
      <c r="AJ103" s="562"/>
      <c r="AK103" s="562"/>
      <c r="AL103" s="562"/>
      <c r="AM103" s="562"/>
      <c r="AN103" s="562"/>
      <c r="AO103" s="562"/>
      <c r="AP103" s="562"/>
      <c r="AQ103" s="562"/>
      <c r="AR103" s="561">
        <f t="shared" si="30"/>
      </c>
      <c r="AS103" s="561">
        <f t="shared" si="30"/>
      </c>
      <c r="AT103" s="561">
        <f t="shared" si="29"/>
      </c>
      <c r="AU103" s="561">
        <f t="shared" si="29"/>
      </c>
      <c r="AV103" s="561">
        <f t="shared" si="29"/>
      </c>
      <c r="AW103" s="561">
        <f t="shared" si="29"/>
      </c>
      <c r="AX103" s="561">
        <f t="shared" si="29"/>
      </c>
      <c r="AY103" s="561">
        <f t="shared" si="29"/>
      </c>
      <c r="AZ103" s="561">
        <f t="shared" si="29"/>
      </c>
      <c r="BA103" s="561">
        <f t="shared" si="29"/>
      </c>
      <c r="BB103" s="561">
        <f t="shared" si="29"/>
      </c>
      <c r="BC103" s="561">
        <f t="shared" si="29"/>
      </c>
      <c r="BD103" s="561">
        <f t="shared" si="29"/>
      </c>
      <c r="BE103" s="561">
        <f t="shared" si="29"/>
      </c>
      <c r="BF103" s="192"/>
    </row>
    <row r="104" spans="2:58" ht="18" customHeight="1" thickBot="1" thickTop="1">
      <c r="B104" s="57"/>
      <c r="C104" s="571">
        <f>+IF(AS$59&lt;=$G$55,AS$59,"")</f>
      </c>
      <c r="D104" s="663"/>
      <c r="E104" s="664"/>
      <c r="F104" s="665"/>
      <c r="G104" s="560"/>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62"/>
      <c r="AL104" s="562"/>
      <c r="AM104" s="562"/>
      <c r="AN104" s="562"/>
      <c r="AO104" s="562"/>
      <c r="AP104" s="562"/>
      <c r="AQ104" s="562"/>
      <c r="AR104" s="562"/>
      <c r="AS104" s="561">
        <f t="shared" si="30"/>
      </c>
      <c r="AT104" s="561">
        <f t="shared" si="29"/>
      </c>
      <c r="AU104" s="561">
        <f t="shared" si="29"/>
      </c>
      <c r="AV104" s="561">
        <f t="shared" si="29"/>
      </c>
      <c r="AW104" s="561">
        <f t="shared" si="29"/>
      </c>
      <c r="AX104" s="561">
        <f t="shared" si="29"/>
      </c>
      <c r="AY104" s="561">
        <f t="shared" si="29"/>
      </c>
      <c r="AZ104" s="561">
        <f t="shared" si="29"/>
      </c>
      <c r="BA104" s="561">
        <f t="shared" si="29"/>
      </c>
      <c r="BB104" s="561">
        <f t="shared" si="29"/>
      </c>
      <c r="BC104" s="561">
        <f t="shared" si="29"/>
      </c>
      <c r="BD104" s="561">
        <f t="shared" si="29"/>
      </c>
      <c r="BE104" s="561">
        <f t="shared" si="29"/>
      </c>
      <c r="BF104" s="192"/>
    </row>
    <row r="105" spans="2:58" ht="18" customHeight="1" thickBot="1" thickTop="1">
      <c r="B105" s="57"/>
      <c r="C105" s="571">
        <f>+IF(AT$59&lt;=$G$55,AT$59,"")</f>
      </c>
      <c r="D105" s="663"/>
      <c r="E105" s="664"/>
      <c r="F105" s="665"/>
      <c r="G105" s="560"/>
      <c r="H105" s="562"/>
      <c r="I105" s="562"/>
      <c r="J105" s="562"/>
      <c r="K105" s="562"/>
      <c r="L105" s="562"/>
      <c r="M105" s="562"/>
      <c r="N105" s="562"/>
      <c r="O105" s="562"/>
      <c r="P105" s="562"/>
      <c r="Q105" s="562"/>
      <c r="R105" s="562"/>
      <c r="S105" s="562"/>
      <c r="T105" s="562"/>
      <c r="U105" s="562"/>
      <c r="V105" s="562"/>
      <c r="W105" s="562"/>
      <c r="X105" s="562"/>
      <c r="Y105" s="562"/>
      <c r="Z105" s="562"/>
      <c r="AA105" s="562"/>
      <c r="AB105" s="562"/>
      <c r="AC105" s="562"/>
      <c r="AD105" s="562"/>
      <c r="AE105" s="562"/>
      <c r="AF105" s="562"/>
      <c r="AG105" s="562"/>
      <c r="AH105" s="562"/>
      <c r="AI105" s="562"/>
      <c r="AJ105" s="562"/>
      <c r="AK105" s="562"/>
      <c r="AL105" s="562"/>
      <c r="AM105" s="562"/>
      <c r="AN105" s="562"/>
      <c r="AO105" s="562"/>
      <c r="AP105" s="562"/>
      <c r="AQ105" s="562"/>
      <c r="AR105" s="562"/>
      <c r="AS105" s="562"/>
      <c r="AT105" s="561">
        <f t="shared" si="29"/>
      </c>
      <c r="AU105" s="561">
        <f t="shared" si="29"/>
      </c>
      <c r="AV105" s="561">
        <f t="shared" si="29"/>
      </c>
      <c r="AW105" s="561">
        <f t="shared" si="29"/>
      </c>
      <c r="AX105" s="561">
        <f t="shared" si="29"/>
      </c>
      <c r="AY105" s="561">
        <f t="shared" si="29"/>
      </c>
      <c r="AZ105" s="561">
        <f t="shared" si="29"/>
      </c>
      <c r="BA105" s="561">
        <f t="shared" si="29"/>
      </c>
      <c r="BB105" s="561">
        <f t="shared" si="29"/>
      </c>
      <c r="BC105" s="561">
        <f t="shared" si="29"/>
      </c>
      <c r="BD105" s="561">
        <f t="shared" si="29"/>
      </c>
      <c r="BE105" s="561">
        <f t="shared" si="29"/>
      </c>
      <c r="BF105" s="192"/>
    </row>
    <row r="106" spans="2:58" ht="18" customHeight="1" thickBot="1" thickTop="1">
      <c r="B106" s="57"/>
      <c r="C106" s="571">
        <f>+IF(AU$59&lt;=$G$55,AU$59,"")</f>
      </c>
      <c r="D106" s="663"/>
      <c r="E106" s="664"/>
      <c r="F106" s="665"/>
      <c r="G106" s="560"/>
      <c r="H106" s="562"/>
      <c r="I106" s="562"/>
      <c r="J106" s="562"/>
      <c r="K106" s="562"/>
      <c r="L106" s="562"/>
      <c r="M106" s="562"/>
      <c r="N106" s="562"/>
      <c r="O106" s="562"/>
      <c r="P106" s="562"/>
      <c r="Q106" s="562"/>
      <c r="R106" s="562"/>
      <c r="S106" s="562"/>
      <c r="T106" s="562"/>
      <c r="U106" s="562"/>
      <c r="V106" s="562"/>
      <c r="W106" s="562"/>
      <c r="X106" s="562"/>
      <c r="Y106" s="562"/>
      <c r="Z106" s="562"/>
      <c r="AA106" s="562"/>
      <c r="AB106" s="562"/>
      <c r="AC106" s="562"/>
      <c r="AD106" s="562"/>
      <c r="AE106" s="562"/>
      <c r="AF106" s="562"/>
      <c r="AG106" s="562"/>
      <c r="AH106" s="562"/>
      <c r="AI106" s="562"/>
      <c r="AJ106" s="562"/>
      <c r="AK106" s="562"/>
      <c r="AL106" s="562"/>
      <c r="AM106" s="562"/>
      <c r="AN106" s="562"/>
      <c r="AO106" s="562"/>
      <c r="AP106" s="562"/>
      <c r="AQ106" s="562"/>
      <c r="AR106" s="562"/>
      <c r="AS106" s="562"/>
      <c r="AT106" s="562"/>
      <c r="AU106" s="561">
        <f aca="true" t="shared" si="31" ref="AU106:BE116">IF(ISERROR($F106*$E106*EXP(-$F106*(AU$59-$C106+0.5))*$D106),"",$F106*$E106*EXP(-$F106*(AU$59-$C106+0.5))*$D106)</f>
      </c>
      <c r="AV106" s="561">
        <f t="shared" si="31"/>
      </c>
      <c r="AW106" s="561">
        <f t="shared" si="31"/>
      </c>
      <c r="AX106" s="561">
        <f t="shared" si="31"/>
      </c>
      <c r="AY106" s="561">
        <f t="shared" si="31"/>
      </c>
      <c r="AZ106" s="561">
        <f t="shared" si="31"/>
      </c>
      <c r="BA106" s="561">
        <f t="shared" si="31"/>
      </c>
      <c r="BB106" s="561">
        <f t="shared" si="31"/>
      </c>
      <c r="BC106" s="561">
        <f t="shared" si="31"/>
      </c>
      <c r="BD106" s="561">
        <f t="shared" si="31"/>
      </c>
      <c r="BE106" s="561">
        <f t="shared" si="31"/>
      </c>
      <c r="BF106" s="192"/>
    </row>
    <row r="107" spans="2:58" ht="18" customHeight="1" thickBot="1" thickTop="1">
      <c r="B107" s="57"/>
      <c r="C107" s="571">
        <f>+IF(AV$59&lt;=$G$55,AV$59,"")</f>
      </c>
      <c r="D107" s="663"/>
      <c r="E107" s="664"/>
      <c r="F107" s="665"/>
      <c r="G107" s="560"/>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c r="AK107" s="562"/>
      <c r="AL107" s="562"/>
      <c r="AM107" s="562"/>
      <c r="AN107" s="562"/>
      <c r="AO107" s="562"/>
      <c r="AP107" s="562"/>
      <c r="AQ107" s="562"/>
      <c r="AR107" s="562"/>
      <c r="AS107" s="562"/>
      <c r="AT107" s="562"/>
      <c r="AU107" s="562"/>
      <c r="AV107" s="561">
        <f t="shared" si="31"/>
      </c>
      <c r="AW107" s="561">
        <f t="shared" si="31"/>
      </c>
      <c r="AX107" s="561">
        <f t="shared" si="31"/>
      </c>
      <c r="AY107" s="561">
        <f t="shared" si="31"/>
      </c>
      <c r="AZ107" s="561">
        <f t="shared" si="31"/>
      </c>
      <c r="BA107" s="561">
        <f t="shared" si="31"/>
      </c>
      <c r="BB107" s="561">
        <f t="shared" si="31"/>
      </c>
      <c r="BC107" s="561">
        <f t="shared" si="31"/>
      </c>
      <c r="BD107" s="561">
        <f t="shared" si="31"/>
      </c>
      <c r="BE107" s="561">
        <f t="shared" si="31"/>
      </c>
      <c r="BF107" s="192"/>
    </row>
    <row r="108" spans="2:58" ht="16.5" thickBot="1" thickTop="1">
      <c r="B108" s="57"/>
      <c r="C108" s="571">
        <f>+IF(AW$59&lt;=$G$55,AW$59,"")</f>
      </c>
      <c r="D108" s="663"/>
      <c r="E108" s="664"/>
      <c r="F108" s="665"/>
      <c r="G108" s="560"/>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c r="AE108" s="562"/>
      <c r="AF108" s="562"/>
      <c r="AG108" s="562"/>
      <c r="AH108" s="562"/>
      <c r="AI108" s="562"/>
      <c r="AJ108" s="562"/>
      <c r="AK108" s="562"/>
      <c r="AL108" s="562"/>
      <c r="AM108" s="562"/>
      <c r="AN108" s="562"/>
      <c r="AO108" s="562"/>
      <c r="AP108" s="562"/>
      <c r="AQ108" s="562"/>
      <c r="AR108" s="562"/>
      <c r="AS108" s="562"/>
      <c r="AT108" s="562"/>
      <c r="AU108" s="562"/>
      <c r="AV108" s="562"/>
      <c r="AW108" s="561">
        <f t="shared" si="31"/>
      </c>
      <c r="AX108" s="561">
        <f t="shared" si="31"/>
      </c>
      <c r="AY108" s="561">
        <f t="shared" si="31"/>
      </c>
      <c r="AZ108" s="561">
        <f t="shared" si="31"/>
      </c>
      <c r="BA108" s="561">
        <f t="shared" si="31"/>
      </c>
      <c r="BB108" s="561">
        <f t="shared" si="31"/>
      </c>
      <c r="BC108" s="561">
        <f t="shared" si="31"/>
      </c>
      <c r="BD108" s="561">
        <f t="shared" si="31"/>
      </c>
      <c r="BE108" s="561">
        <f t="shared" si="31"/>
      </c>
      <c r="BF108" s="192"/>
    </row>
    <row r="109" spans="2:58" ht="16.5" thickBot="1" thickTop="1">
      <c r="B109" s="57"/>
      <c r="C109" s="571">
        <f>+IF(AX$59&lt;=$G$55,AX$59,"")</f>
      </c>
      <c r="D109" s="663"/>
      <c r="E109" s="664"/>
      <c r="F109" s="665"/>
      <c r="G109" s="560"/>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2"/>
      <c r="AL109" s="562"/>
      <c r="AM109" s="562"/>
      <c r="AN109" s="562"/>
      <c r="AO109" s="562"/>
      <c r="AP109" s="562"/>
      <c r="AQ109" s="562"/>
      <c r="AR109" s="562"/>
      <c r="AS109" s="562"/>
      <c r="AT109" s="562"/>
      <c r="AU109" s="562"/>
      <c r="AV109" s="562"/>
      <c r="AW109" s="562"/>
      <c r="AX109" s="561">
        <f t="shared" si="31"/>
      </c>
      <c r="AY109" s="561">
        <f t="shared" si="31"/>
      </c>
      <c r="AZ109" s="561">
        <f t="shared" si="31"/>
      </c>
      <c r="BA109" s="561">
        <f t="shared" si="31"/>
      </c>
      <c r="BB109" s="561">
        <f t="shared" si="31"/>
      </c>
      <c r="BC109" s="561">
        <f t="shared" si="31"/>
      </c>
      <c r="BD109" s="561">
        <f t="shared" si="31"/>
      </c>
      <c r="BE109" s="561">
        <f t="shared" si="31"/>
      </c>
      <c r="BF109" s="192"/>
    </row>
    <row r="110" spans="2:58" ht="16.5" thickBot="1" thickTop="1">
      <c r="B110" s="57"/>
      <c r="C110" s="571">
        <f>+IF(AY$59&lt;=$G$55,AY$59,"")</f>
      </c>
      <c r="D110" s="663"/>
      <c r="E110" s="664"/>
      <c r="F110" s="665"/>
      <c r="G110" s="560"/>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c r="AK110" s="562"/>
      <c r="AL110" s="562"/>
      <c r="AM110" s="562"/>
      <c r="AN110" s="562"/>
      <c r="AO110" s="562"/>
      <c r="AP110" s="562"/>
      <c r="AQ110" s="562"/>
      <c r="AR110" s="562"/>
      <c r="AS110" s="562"/>
      <c r="AT110" s="562"/>
      <c r="AU110" s="562"/>
      <c r="AV110" s="562"/>
      <c r="AW110" s="562"/>
      <c r="AX110" s="562"/>
      <c r="AY110" s="561">
        <f t="shared" si="31"/>
      </c>
      <c r="AZ110" s="561">
        <f t="shared" si="31"/>
      </c>
      <c r="BA110" s="561">
        <f t="shared" si="31"/>
      </c>
      <c r="BB110" s="561">
        <f t="shared" si="31"/>
      </c>
      <c r="BC110" s="561">
        <f t="shared" si="31"/>
      </c>
      <c r="BD110" s="561">
        <f t="shared" si="31"/>
      </c>
      <c r="BE110" s="561">
        <f t="shared" si="31"/>
      </c>
      <c r="BF110" s="192"/>
    </row>
    <row r="111" spans="2:58" ht="16.5" thickBot="1" thickTop="1">
      <c r="B111" s="57"/>
      <c r="C111" s="571">
        <f>+IF(AZ$59&lt;=$G$55,AZ$59,"")</f>
      </c>
      <c r="D111" s="663"/>
      <c r="E111" s="664"/>
      <c r="F111" s="665"/>
      <c r="G111" s="560"/>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2"/>
      <c r="AL111" s="562"/>
      <c r="AM111" s="562"/>
      <c r="AN111" s="562"/>
      <c r="AO111" s="562"/>
      <c r="AP111" s="562"/>
      <c r="AQ111" s="562"/>
      <c r="AR111" s="562"/>
      <c r="AS111" s="562"/>
      <c r="AT111" s="562"/>
      <c r="AU111" s="562"/>
      <c r="AV111" s="562"/>
      <c r="AW111" s="562"/>
      <c r="AX111" s="562"/>
      <c r="AY111" s="562"/>
      <c r="AZ111" s="561">
        <f t="shared" si="31"/>
      </c>
      <c r="BA111" s="561">
        <f t="shared" si="31"/>
      </c>
      <c r="BB111" s="561">
        <f t="shared" si="31"/>
      </c>
      <c r="BC111" s="561">
        <f t="shared" si="31"/>
      </c>
      <c r="BD111" s="561">
        <f t="shared" si="31"/>
      </c>
      <c r="BE111" s="561">
        <f t="shared" si="31"/>
      </c>
      <c r="BF111" s="192"/>
    </row>
    <row r="112" spans="2:58" ht="16.5" thickBot="1" thickTop="1">
      <c r="B112" s="57"/>
      <c r="C112" s="571">
        <f>+IF(BA$59&lt;=$G$55,BA$59,"")</f>
      </c>
      <c r="D112" s="663"/>
      <c r="E112" s="664"/>
      <c r="F112" s="665"/>
      <c r="G112" s="560"/>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c r="AK112" s="562"/>
      <c r="AL112" s="562"/>
      <c r="AM112" s="562"/>
      <c r="AN112" s="562"/>
      <c r="AO112" s="562"/>
      <c r="AP112" s="562"/>
      <c r="AQ112" s="562"/>
      <c r="AR112" s="562"/>
      <c r="AS112" s="562"/>
      <c r="AT112" s="562"/>
      <c r="AU112" s="562"/>
      <c r="AV112" s="562"/>
      <c r="AW112" s="562"/>
      <c r="AX112" s="562"/>
      <c r="AY112" s="562"/>
      <c r="AZ112" s="562"/>
      <c r="BA112" s="561">
        <f t="shared" si="31"/>
      </c>
      <c r="BB112" s="561">
        <f t="shared" si="31"/>
      </c>
      <c r="BC112" s="561">
        <f t="shared" si="31"/>
      </c>
      <c r="BD112" s="561">
        <f t="shared" si="31"/>
      </c>
      <c r="BE112" s="561">
        <f t="shared" si="31"/>
      </c>
      <c r="BF112" s="192"/>
    </row>
    <row r="113" spans="2:58" ht="16.5" thickBot="1" thickTop="1">
      <c r="B113" s="57"/>
      <c r="C113" s="571">
        <f>+IF(BB$59&lt;=$G$55,BB$59,"")</f>
      </c>
      <c r="D113" s="663"/>
      <c r="E113" s="664"/>
      <c r="F113" s="665"/>
      <c r="G113" s="560"/>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2"/>
      <c r="AI113" s="562"/>
      <c r="AJ113" s="562"/>
      <c r="AK113" s="562"/>
      <c r="AL113" s="562"/>
      <c r="AM113" s="562"/>
      <c r="AN113" s="562"/>
      <c r="AO113" s="562"/>
      <c r="AP113" s="562"/>
      <c r="AQ113" s="562"/>
      <c r="AR113" s="562"/>
      <c r="AS113" s="562"/>
      <c r="AT113" s="562"/>
      <c r="AU113" s="562"/>
      <c r="AV113" s="562"/>
      <c r="AW113" s="562"/>
      <c r="AX113" s="562"/>
      <c r="AY113" s="562"/>
      <c r="AZ113" s="562"/>
      <c r="BA113" s="562"/>
      <c r="BB113" s="561">
        <f t="shared" si="31"/>
      </c>
      <c r="BC113" s="561">
        <f t="shared" si="31"/>
      </c>
      <c r="BD113" s="561">
        <f t="shared" si="31"/>
      </c>
      <c r="BE113" s="561">
        <f t="shared" si="31"/>
      </c>
      <c r="BF113" s="192"/>
    </row>
    <row r="114" spans="2:58" ht="16.5" thickBot="1" thickTop="1">
      <c r="B114" s="57"/>
      <c r="C114" s="571">
        <f>+IF(BC$59&lt;=$G$55,BC$59,"")</f>
      </c>
      <c r="D114" s="663"/>
      <c r="E114" s="664"/>
      <c r="F114" s="665"/>
      <c r="G114" s="560"/>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2"/>
      <c r="AL114" s="562"/>
      <c r="AM114" s="562"/>
      <c r="AN114" s="562"/>
      <c r="AO114" s="562"/>
      <c r="AP114" s="562"/>
      <c r="AQ114" s="562"/>
      <c r="AR114" s="562"/>
      <c r="AS114" s="562"/>
      <c r="AT114" s="562"/>
      <c r="AU114" s="562"/>
      <c r="AV114" s="562"/>
      <c r="AW114" s="562"/>
      <c r="AX114" s="562"/>
      <c r="AY114" s="562"/>
      <c r="AZ114" s="562"/>
      <c r="BA114" s="562"/>
      <c r="BB114" s="562"/>
      <c r="BC114" s="561">
        <f t="shared" si="31"/>
      </c>
      <c r="BD114" s="561">
        <f t="shared" si="31"/>
      </c>
      <c r="BE114" s="561">
        <f t="shared" si="31"/>
      </c>
      <c r="BF114" s="192"/>
    </row>
    <row r="115" spans="2:58" ht="16.5" thickBot="1" thickTop="1">
      <c r="B115" s="57"/>
      <c r="C115" s="571">
        <f>+IF(BD$59&lt;=$G$55,BD$59,"")</f>
      </c>
      <c r="D115" s="663"/>
      <c r="E115" s="664"/>
      <c r="F115" s="665"/>
      <c r="G115" s="560"/>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2"/>
      <c r="AY115" s="562"/>
      <c r="AZ115" s="562"/>
      <c r="BA115" s="562"/>
      <c r="BB115" s="562"/>
      <c r="BC115" s="562"/>
      <c r="BD115" s="561">
        <f t="shared" si="31"/>
      </c>
      <c r="BE115" s="561">
        <f t="shared" si="31"/>
      </c>
      <c r="BF115" s="192"/>
    </row>
    <row r="116" spans="2:58" ht="16.5" thickBot="1" thickTop="1">
      <c r="B116" s="57"/>
      <c r="C116" s="571">
        <f>+IF(BE$59&lt;=$G$55,BE$59,"")</f>
      </c>
      <c r="D116" s="663"/>
      <c r="E116" s="664"/>
      <c r="F116" s="665"/>
      <c r="G116" s="560"/>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562"/>
      <c r="AJ116" s="562"/>
      <c r="AK116" s="562"/>
      <c r="AL116" s="562"/>
      <c r="AM116" s="562"/>
      <c r="AN116" s="562"/>
      <c r="AO116" s="562"/>
      <c r="AP116" s="562"/>
      <c r="AQ116" s="562"/>
      <c r="AR116" s="562"/>
      <c r="AS116" s="562"/>
      <c r="AT116" s="562"/>
      <c r="AU116" s="562"/>
      <c r="AV116" s="562"/>
      <c r="AW116" s="562"/>
      <c r="AX116" s="562"/>
      <c r="AY116" s="562"/>
      <c r="AZ116" s="562"/>
      <c r="BA116" s="562"/>
      <c r="BB116" s="562"/>
      <c r="BC116" s="562"/>
      <c r="BD116" s="562"/>
      <c r="BE116" s="561">
        <f t="shared" si="31"/>
      </c>
      <c r="BF116" s="192"/>
    </row>
    <row r="117" spans="2:58" ht="16.5" thickBot="1" thickTop="1">
      <c r="B117" s="647"/>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row>
    <row r="118" spans="2:25" ht="18" customHeight="1" thickTop="1">
      <c r="B118" s="644"/>
      <c r="C118" s="644"/>
      <c r="D118" s="648"/>
      <c r="E118" s="649"/>
      <c r="F118" s="649"/>
      <c r="G118" s="649"/>
      <c r="H118" s="649"/>
      <c r="I118" s="649"/>
      <c r="J118" s="978"/>
      <c r="K118" s="979"/>
      <c r="L118" s="979"/>
      <c r="M118" s="979"/>
      <c r="N118" s="650"/>
      <c r="O118" s="651"/>
      <c r="P118" s="641"/>
      <c r="Q118" s="641"/>
      <c r="R118" s="646"/>
      <c r="S118"/>
      <c r="T118"/>
      <c r="U118"/>
      <c r="V118"/>
      <c r="W118"/>
      <c r="X118"/>
      <c r="Y118"/>
    </row>
    <row r="119" ht="18" customHeight="1"/>
    <row r="120" ht="18" customHeight="1"/>
    <row r="121" ht="18" customHeight="1"/>
    <row r="122" ht="18" customHeight="1"/>
    <row r="123" ht="18" customHeight="1"/>
    <row r="124" spans="13:14" ht="18" customHeight="1" thickBot="1">
      <c r="M124" s="642"/>
      <c r="N124" s="642"/>
    </row>
    <row r="125" spans="2:14" ht="102.75" customHeight="1" thickTop="1">
      <c r="B125" s="54"/>
      <c r="C125" s="974" t="s">
        <v>519</v>
      </c>
      <c r="D125" s="975"/>
      <c r="E125" s="975"/>
      <c r="F125" s="975"/>
      <c r="G125" s="227"/>
      <c r="H125" s="55"/>
      <c r="I125" s="55"/>
      <c r="J125" s="55"/>
      <c r="K125" s="55"/>
      <c r="L125" s="55"/>
      <c r="M125" s="224"/>
      <c r="N125" s="56"/>
    </row>
    <row r="126" spans="2:14" ht="27" customHeight="1">
      <c r="B126" s="57"/>
      <c r="C126" s="139" t="s">
        <v>251</v>
      </c>
      <c r="D126" s="190"/>
      <c r="E126" s="190"/>
      <c r="F126" s="190"/>
      <c r="G126" s="65"/>
      <c r="H126" s="65"/>
      <c r="I126" s="65"/>
      <c r="J126" s="65"/>
      <c r="K126" s="65"/>
      <c r="L126" s="65"/>
      <c r="M126" s="224"/>
      <c r="N126" s="58"/>
    </row>
    <row r="127" spans="2:14" ht="27" customHeight="1">
      <c r="B127" s="57"/>
      <c r="C127" s="229" t="s">
        <v>230</v>
      </c>
      <c r="D127" s="190"/>
      <c r="E127" s="190"/>
      <c r="F127" s="190"/>
      <c r="G127" s="65"/>
      <c r="H127" s="65"/>
      <c r="I127" s="65"/>
      <c r="J127" s="65"/>
      <c r="K127" s="65"/>
      <c r="L127" s="65"/>
      <c r="M127" s="224"/>
      <c r="N127" s="58"/>
    </row>
    <row r="128" spans="2:14" ht="19.5" customHeight="1">
      <c r="B128" s="57"/>
      <c r="C128" s="65"/>
      <c r="D128" s="150"/>
      <c r="E128" s="966" t="s">
        <v>353</v>
      </c>
      <c r="F128" s="967"/>
      <c r="G128" s="967"/>
      <c r="H128" s="967"/>
      <c r="I128" s="967"/>
      <c r="J128" s="967"/>
      <c r="K128" s="967"/>
      <c r="L128" s="967"/>
      <c r="M128" s="968"/>
      <c r="N128" s="72"/>
    </row>
    <row r="129" spans="2:14" ht="21" customHeight="1">
      <c r="B129" s="57"/>
      <c r="C129" s="65"/>
      <c r="D129" s="150"/>
      <c r="E129" s="46" t="s">
        <v>282</v>
      </c>
      <c r="F129" s="221" t="s">
        <v>283</v>
      </c>
      <c r="G129" s="222" t="s">
        <v>257</v>
      </c>
      <c r="H129" s="222" t="s">
        <v>263</v>
      </c>
      <c r="I129" s="127" t="s">
        <v>258</v>
      </c>
      <c r="J129" s="222" t="s">
        <v>412</v>
      </c>
      <c r="K129" s="223" t="s">
        <v>262</v>
      </c>
      <c r="L129" s="223" t="s">
        <v>617</v>
      </c>
      <c r="M129" s="223" t="s">
        <v>618</v>
      </c>
      <c r="N129" s="72"/>
    </row>
    <row r="130" spans="2:14" ht="69.75" customHeight="1">
      <c r="B130" s="67"/>
      <c r="C130" s="134"/>
      <c r="D130" s="151"/>
      <c r="E130" s="634" t="s">
        <v>280</v>
      </c>
      <c r="F130" s="164" t="s">
        <v>507</v>
      </c>
      <c r="G130" s="5" t="s">
        <v>231</v>
      </c>
      <c r="H130" s="5" t="s">
        <v>510</v>
      </c>
      <c r="I130" s="5" t="s">
        <v>509</v>
      </c>
      <c r="J130" s="164" t="s">
        <v>528</v>
      </c>
      <c r="K130" s="8" t="s">
        <v>511</v>
      </c>
      <c r="L130" s="636" t="s">
        <v>90</v>
      </c>
      <c r="M130" s="636" t="s">
        <v>92</v>
      </c>
      <c r="N130" s="73"/>
    </row>
    <row r="131" spans="2:14" ht="45" customHeight="1">
      <c r="B131" s="57"/>
      <c r="C131" s="65"/>
      <c r="D131" s="150"/>
      <c r="E131" s="635"/>
      <c r="F131" s="165"/>
      <c r="G131" s="6"/>
      <c r="H131" s="6"/>
      <c r="I131" s="8"/>
      <c r="J131" s="8" t="s">
        <v>233</v>
      </c>
      <c r="K131" s="135" t="s">
        <v>232</v>
      </c>
      <c r="L131" s="135" t="s">
        <v>91</v>
      </c>
      <c r="M131" s="135" t="s">
        <v>93</v>
      </c>
      <c r="N131" s="73"/>
    </row>
    <row r="132" spans="2:14" ht="15.75" customHeight="1">
      <c r="B132" s="57"/>
      <c r="C132" s="65" t="s">
        <v>234</v>
      </c>
      <c r="D132" s="152" t="s">
        <v>235</v>
      </c>
      <c r="E132" s="640">
        <v>0.7</v>
      </c>
      <c r="F132" s="69">
        <v>1000</v>
      </c>
      <c r="G132" s="69">
        <v>0.9</v>
      </c>
      <c r="H132" s="69">
        <v>0.5</v>
      </c>
      <c r="I132" s="191">
        <v>0.5</v>
      </c>
      <c r="J132" s="84">
        <f>((F132/G132)*(1-G132)*I132)+(F132*I132*(1-H132))</f>
        <v>305.55555555555554</v>
      </c>
      <c r="K132" s="196">
        <f>J132*0.72/1000</f>
        <v>0.21999999999999997</v>
      </c>
      <c r="L132" s="191">
        <f>E132*K132</f>
        <v>0.15399999999999997</v>
      </c>
      <c r="M132" s="191">
        <f>(1-E132)*K132</f>
        <v>0.066</v>
      </c>
      <c r="N132" s="70"/>
    </row>
    <row r="133" spans="2:14" ht="23.25" customHeight="1">
      <c r="B133" s="82"/>
      <c r="C133" s="41" t="s">
        <v>604</v>
      </c>
      <c r="D133" s="153" t="s">
        <v>503</v>
      </c>
      <c r="E133" s="639"/>
      <c r="F133" s="12"/>
      <c r="G133" s="11"/>
      <c r="H133" s="36"/>
      <c r="I133" s="137"/>
      <c r="J133" s="36"/>
      <c r="K133" s="12"/>
      <c r="L133" s="137"/>
      <c r="M133" s="12"/>
      <c r="N133" s="74"/>
    </row>
    <row r="134" spans="2:14" ht="17.25" customHeight="1">
      <c r="B134" s="57"/>
      <c r="C134" s="679"/>
      <c r="D134" s="680"/>
      <c r="E134" s="658"/>
      <c r="F134" s="656"/>
      <c r="G134" s="655"/>
      <c r="H134" s="655"/>
      <c r="I134" s="655"/>
      <c r="J134" s="219">
        <f>IF(G134=0,0,((F134/G134)*(1-G134)*I134)+(F134*I134*(1-H134)))</f>
        <v>0</v>
      </c>
      <c r="K134" s="220">
        <f>J134*0.72/1000</f>
        <v>0</v>
      </c>
      <c r="L134" s="133">
        <f>E134*K134</f>
        <v>0</v>
      </c>
      <c r="M134" s="133">
        <f>(1-E134)*K134</f>
        <v>0</v>
      </c>
      <c r="N134" s="75"/>
    </row>
    <row r="135" spans="2:14" ht="18.75" customHeight="1">
      <c r="B135" s="57"/>
      <c r="C135" s="679"/>
      <c r="D135" s="680"/>
      <c r="E135" s="658"/>
      <c r="F135" s="656"/>
      <c r="G135" s="655"/>
      <c r="H135" s="655"/>
      <c r="I135" s="655"/>
      <c r="J135" s="219">
        <f>IF(G135=0,0,((F135/G135)*(1-G135)*I135)+(F135*I135*(1-H135)))</f>
        <v>0</v>
      </c>
      <c r="K135" s="220">
        <f>J135*0.72/1000</f>
        <v>0</v>
      </c>
      <c r="L135" s="133">
        <f>E135*K135</f>
        <v>0</v>
      </c>
      <c r="M135" s="133">
        <f>(1-E135)*K135</f>
        <v>0</v>
      </c>
      <c r="N135" s="75"/>
    </row>
    <row r="136" spans="2:14" ht="18" customHeight="1">
      <c r="B136" s="57"/>
      <c r="C136" s="679"/>
      <c r="D136" s="680"/>
      <c r="E136" s="658"/>
      <c r="F136" s="656"/>
      <c r="G136" s="655"/>
      <c r="H136" s="655"/>
      <c r="I136" s="655"/>
      <c r="J136" s="219">
        <f>IF(G136=0,0,((F136/G136)*(1-G136)*I136)+(F136*I136*(1-H136)))</f>
        <v>0</v>
      </c>
      <c r="K136" s="220">
        <f>J136*0.72/1000</f>
        <v>0</v>
      </c>
      <c r="L136" s="133">
        <f>E136*K136</f>
        <v>0</v>
      </c>
      <c r="M136" s="133">
        <f>(1-E136)*K136</f>
        <v>0</v>
      </c>
      <c r="N136" s="75"/>
    </row>
    <row r="137" spans="2:14" ht="18" customHeight="1">
      <c r="B137" s="57"/>
      <c r="C137" s="679"/>
      <c r="D137" s="682"/>
      <c r="E137" s="659"/>
      <c r="F137" s="656"/>
      <c r="G137" s="655"/>
      <c r="H137" s="655"/>
      <c r="I137" s="655"/>
      <c r="J137" s="219">
        <f>IF(G137=0,0,((F137/G137)*(1-G137)*I137)+(F137*I137*(1-H137)))</f>
        <v>0</v>
      </c>
      <c r="K137" s="220">
        <f>J137*0.72/1000</f>
        <v>0</v>
      </c>
      <c r="L137" s="133">
        <f>E137*K137</f>
        <v>0</v>
      </c>
      <c r="M137" s="133">
        <f>(1-E137)*K137</f>
        <v>0</v>
      </c>
      <c r="N137" s="75"/>
    </row>
    <row r="138" spans="2:14" ht="16.5" customHeight="1">
      <c r="B138" s="57"/>
      <c r="C138" s="679"/>
      <c r="D138" s="680"/>
      <c r="E138" s="658"/>
      <c r="F138" s="656"/>
      <c r="G138" s="655"/>
      <c r="H138" s="655"/>
      <c r="I138" s="655"/>
      <c r="J138" s="219">
        <f>IF(G138=0,0,((F138/G138)*(1-G138)*I138)+(F138*I138*(1-H138)))</f>
        <v>0</v>
      </c>
      <c r="K138" s="220">
        <f>J138*0.72/1000</f>
        <v>0</v>
      </c>
      <c r="L138" s="133">
        <f>E138*K138</f>
        <v>0</v>
      </c>
      <c r="M138" s="133">
        <f>(1-E138)*K138</f>
        <v>0</v>
      </c>
      <c r="N138" s="75"/>
    </row>
    <row r="139" spans="2:14" ht="30.75" customHeight="1">
      <c r="B139" s="78"/>
      <c r="C139" s="79"/>
      <c r="D139" s="154"/>
      <c r="E139" s="154"/>
      <c r="F139" s="154"/>
      <c r="G139" s="154"/>
      <c r="H139" s="154"/>
      <c r="I139" s="79"/>
      <c r="J139" s="79"/>
      <c r="K139" s="139"/>
      <c r="L139" s="224"/>
      <c r="M139" s="224"/>
      <c r="N139" s="76"/>
    </row>
    <row r="140" spans="2:14" ht="20.25" customHeight="1" thickBot="1">
      <c r="B140" s="192"/>
      <c r="C140" s="193"/>
      <c r="D140" s="193"/>
      <c r="E140" s="194"/>
      <c r="F140" s="969" t="s">
        <v>238</v>
      </c>
      <c r="G140" s="970"/>
      <c r="H140" s="970"/>
      <c r="I140" s="970"/>
      <c r="J140" s="970"/>
      <c r="K140" s="971"/>
      <c r="L140" s="189">
        <f>SUM(L134:L138)</f>
        <v>0</v>
      </c>
      <c r="M140" s="189">
        <f>SUM(M134:M138)</f>
        <v>0</v>
      </c>
      <c r="N140" s="225" t="s">
        <v>94</v>
      </c>
    </row>
    <row r="141" spans="2:13" ht="47.25" customHeight="1" thickTop="1">
      <c r="B141" s="54"/>
      <c r="C141" s="976" t="s">
        <v>252</v>
      </c>
      <c r="D141" s="975"/>
      <c r="E141" s="975"/>
      <c r="F141" s="975"/>
      <c r="G141" s="227"/>
      <c r="H141" s="55"/>
      <c r="I141" s="55"/>
      <c r="J141" s="55"/>
      <c r="K141" s="55"/>
      <c r="L141" s="55"/>
      <c r="M141" s="56"/>
    </row>
    <row r="142" spans="2:13" ht="18" customHeight="1">
      <c r="B142" s="57"/>
      <c r="C142" s="98"/>
      <c r="D142" s="190"/>
      <c r="E142" s="190"/>
      <c r="F142" s="190"/>
      <c r="G142" s="190"/>
      <c r="H142" s="65"/>
      <c r="I142" s="65"/>
      <c r="J142" s="65"/>
      <c r="K142" s="65"/>
      <c r="L142" s="65"/>
      <c r="M142" s="58"/>
    </row>
    <row r="143" spans="2:13" ht="18" customHeight="1">
      <c r="B143" s="57"/>
      <c r="C143" s="98"/>
      <c r="D143" s="190"/>
      <c r="E143" s="984" t="s">
        <v>353</v>
      </c>
      <c r="F143" s="960"/>
      <c r="G143" s="960"/>
      <c r="H143" s="960"/>
      <c r="I143" s="960"/>
      <c r="J143" s="960"/>
      <c r="K143" s="960"/>
      <c r="L143" s="960"/>
      <c r="M143" s="58"/>
    </row>
    <row r="144" spans="2:13" ht="18" customHeight="1">
      <c r="B144" s="57"/>
      <c r="C144" s="65"/>
      <c r="D144" s="150"/>
      <c r="E144" s="46" t="s">
        <v>282</v>
      </c>
      <c r="F144" s="163" t="s">
        <v>283</v>
      </c>
      <c r="G144" s="3" t="s">
        <v>257</v>
      </c>
      <c r="H144" s="3" t="s">
        <v>263</v>
      </c>
      <c r="I144" s="3" t="s">
        <v>258</v>
      </c>
      <c r="J144" s="128" t="s">
        <v>259</v>
      </c>
      <c r="K144" s="128" t="s">
        <v>661</v>
      </c>
      <c r="L144" s="128" t="s">
        <v>18</v>
      </c>
      <c r="M144" s="72"/>
    </row>
    <row r="145" spans="2:14" ht="147" customHeight="1">
      <c r="B145" s="67"/>
      <c r="C145" s="134"/>
      <c r="D145" s="151"/>
      <c r="E145" s="634" t="s">
        <v>280</v>
      </c>
      <c r="F145" s="164" t="s">
        <v>240</v>
      </c>
      <c r="G145" s="5" t="s">
        <v>243</v>
      </c>
      <c r="H145" s="5" t="s">
        <v>244</v>
      </c>
      <c r="I145" s="164" t="s">
        <v>245</v>
      </c>
      <c r="J145" s="8" t="s">
        <v>511</v>
      </c>
      <c r="K145" s="636" t="s">
        <v>90</v>
      </c>
      <c r="L145" s="636" t="s">
        <v>92</v>
      </c>
      <c r="M145" s="224"/>
      <c r="N145" s="568"/>
    </row>
    <row r="146" spans="2:13" ht="20.25" customHeight="1">
      <c r="B146" s="57"/>
      <c r="C146" s="65"/>
      <c r="D146" s="150"/>
      <c r="E146" s="635"/>
      <c r="F146" s="186"/>
      <c r="G146" s="8"/>
      <c r="H146" s="8"/>
      <c r="I146" s="8" t="s">
        <v>594</v>
      </c>
      <c r="J146" s="135" t="s">
        <v>246</v>
      </c>
      <c r="K146" s="135" t="s">
        <v>95</v>
      </c>
      <c r="L146" s="135" t="s">
        <v>96</v>
      </c>
      <c r="M146" s="73"/>
    </row>
    <row r="147" spans="2:13" ht="18" customHeight="1">
      <c r="B147" s="57"/>
      <c r="C147" s="65" t="s">
        <v>239</v>
      </c>
      <c r="D147" s="152" t="s">
        <v>235</v>
      </c>
      <c r="E147" s="640">
        <v>0.7</v>
      </c>
      <c r="F147" s="69">
        <v>3000000</v>
      </c>
      <c r="G147" s="69">
        <v>0.25</v>
      </c>
      <c r="H147" s="69">
        <v>600000</v>
      </c>
      <c r="I147" s="136">
        <f>F147*G147-H147</f>
        <v>150000</v>
      </c>
      <c r="J147" s="188">
        <f>I147/1000</f>
        <v>150</v>
      </c>
      <c r="K147" s="136">
        <f>E147*J147</f>
        <v>105</v>
      </c>
      <c r="L147" s="136">
        <f>(1-E147)*J147</f>
        <v>45.00000000000001</v>
      </c>
      <c r="M147" s="70"/>
    </row>
    <row r="148" spans="2:13" ht="18" customHeight="1">
      <c r="B148" s="82"/>
      <c r="C148" s="41" t="s">
        <v>604</v>
      </c>
      <c r="D148" s="153" t="s">
        <v>503</v>
      </c>
      <c r="E148" s="639"/>
      <c r="F148" s="12"/>
      <c r="G148" s="11"/>
      <c r="H148" s="36"/>
      <c r="I148" s="36"/>
      <c r="J148" s="12"/>
      <c r="K148" s="137"/>
      <c r="L148" s="12"/>
      <c r="M148" s="74"/>
    </row>
    <row r="149" spans="2:13" ht="18" customHeight="1">
      <c r="B149" s="57"/>
      <c r="C149" s="679"/>
      <c r="D149" s="680"/>
      <c r="E149" s="658"/>
      <c r="F149" s="653"/>
      <c r="G149" s="655"/>
      <c r="H149" s="655"/>
      <c r="I149" s="138">
        <f>F149*G149-H149</f>
        <v>0</v>
      </c>
      <c r="J149" s="138">
        <f>I149/1000</f>
        <v>0</v>
      </c>
      <c r="K149" s="133">
        <f>E149*J149</f>
        <v>0</v>
      </c>
      <c r="L149" s="133">
        <f>(1-E149)*J149</f>
        <v>0</v>
      </c>
      <c r="M149" s="75"/>
    </row>
    <row r="150" spans="2:13" ht="18" customHeight="1">
      <c r="B150" s="57"/>
      <c r="C150" s="679"/>
      <c r="D150" s="680"/>
      <c r="E150" s="658"/>
      <c r="F150" s="656"/>
      <c r="G150" s="655"/>
      <c r="H150" s="655"/>
      <c r="I150" s="138">
        <f>F150*G150-H150</f>
        <v>0</v>
      </c>
      <c r="J150" s="138">
        <f>I150/1000</f>
        <v>0</v>
      </c>
      <c r="K150" s="133">
        <f>E150*J150</f>
        <v>0</v>
      </c>
      <c r="L150" s="133">
        <f>(1-E150)*J150</f>
        <v>0</v>
      </c>
      <c r="M150" s="75"/>
    </row>
    <row r="151" spans="2:13" ht="18" customHeight="1">
      <c r="B151" s="57"/>
      <c r="C151" s="679"/>
      <c r="D151" s="680"/>
      <c r="E151" s="658"/>
      <c r="F151" s="656"/>
      <c r="G151" s="655"/>
      <c r="H151" s="655"/>
      <c r="I151" s="138">
        <f>F151*G151-H151</f>
        <v>0</v>
      </c>
      <c r="J151" s="138">
        <f>I151/1000</f>
        <v>0</v>
      </c>
      <c r="K151" s="133">
        <f>E151*J151</f>
        <v>0</v>
      </c>
      <c r="L151" s="133">
        <f>(1-E151)*J151</f>
        <v>0</v>
      </c>
      <c r="M151" s="75"/>
    </row>
    <row r="152" spans="2:13" ht="18" customHeight="1">
      <c r="B152" s="57"/>
      <c r="C152" s="679"/>
      <c r="D152" s="682"/>
      <c r="E152" s="659"/>
      <c r="F152" s="656"/>
      <c r="G152" s="655"/>
      <c r="H152" s="655"/>
      <c r="I152" s="138">
        <f>F152*G152-H152</f>
        <v>0</v>
      </c>
      <c r="J152" s="138">
        <f>I152/1000</f>
        <v>0</v>
      </c>
      <c r="K152" s="133">
        <f>E152*J152</f>
        <v>0</v>
      </c>
      <c r="L152" s="133">
        <f>(1-E152)*J152</f>
        <v>0</v>
      </c>
      <c r="M152" s="75"/>
    </row>
    <row r="153" spans="2:13" ht="18" customHeight="1">
      <c r="B153" s="57"/>
      <c r="C153" s="679"/>
      <c r="D153" s="680"/>
      <c r="E153" s="658"/>
      <c r="F153" s="656"/>
      <c r="G153" s="655"/>
      <c r="H153" s="655"/>
      <c r="I153" s="138">
        <f>F153*G153-H153</f>
        <v>0</v>
      </c>
      <c r="J153" s="138">
        <f>I153/1000</f>
        <v>0</v>
      </c>
      <c r="K153" s="133">
        <f>E153*J153</f>
        <v>0</v>
      </c>
      <c r="L153" s="133">
        <f>(1-E153)*J153</f>
        <v>0</v>
      </c>
      <c r="M153" s="75"/>
    </row>
    <row r="154" spans="2:13" ht="18" customHeight="1">
      <c r="B154" s="78"/>
      <c r="C154" s="79"/>
      <c r="D154" s="154"/>
      <c r="E154" s="154"/>
      <c r="F154" s="154"/>
      <c r="G154" s="154"/>
      <c r="H154" s="79"/>
      <c r="I154" s="79"/>
      <c r="J154" s="139"/>
      <c r="K154" s="139"/>
      <c r="L154" s="139"/>
      <c r="M154" s="76"/>
    </row>
    <row r="155" spans="2:13" ht="18" customHeight="1" thickBot="1">
      <c r="B155" s="192"/>
      <c r="C155" s="193"/>
      <c r="D155" s="193"/>
      <c r="E155" s="969" t="s">
        <v>247</v>
      </c>
      <c r="F155" s="970"/>
      <c r="G155" s="970"/>
      <c r="H155" s="970"/>
      <c r="I155" s="970"/>
      <c r="J155" s="971"/>
      <c r="K155" s="189">
        <f>SUM(K149:K153)</f>
        <v>0</v>
      </c>
      <c r="L155" s="189">
        <f>SUM(L149:L153)</f>
        <v>0</v>
      </c>
      <c r="M155" s="195" t="s">
        <v>94</v>
      </c>
    </row>
    <row r="156" spans="2:12" ht="18" customHeight="1" thickTop="1">
      <c r="B156" s="213"/>
      <c r="C156" s="214"/>
      <c r="D156" s="215"/>
      <c r="E156" s="226"/>
      <c r="F156" s="227"/>
      <c r="G156" s="227"/>
      <c r="H156" s="227"/>
      <c r="I156" s="227"/>
      <c r="J156" s="228"/>
      <c r="K156" s="228"/>
      <c r="L156" s="217"/>
    </row>
    <row r="157" spans="2:12" ht="18" customHeight="1">
      <c r="B157" s="78"/>
      <c r="C157" s="139" t="s">
        <v>250</v>
      </c>
      <c r="D157" s="154"/>
      <c r="E157" s="139"/>
      <c r="F157" s="139"/>
      <c r="G157" s="139"/>
      <c r="H157" s="139"/>
      <c r="I157" s="139"/>
      <c r="J157" s="139"/>
      <c r="K157" s="139"/>
      <c r="L157" s="97"/>
    </row>
    <row r="158" spans="2:12" ht="18" customHeight="1">
      <c r="B158" s="78"/>
      <c r="C158" s="139"/>
      <c r="D158" s="154"/>
      <c r="E158" s="139"/>
      <c r="F158" s="139"/>
      <c r="G158" s="139"/>
      <c r="H158" s="139"/>
      <c r="I158" s="139"/>
      <c r="J158" s="600" t="s">
        <v>149</v>
      </c>
      <c r="K158" s="600" t="s">
        <v>150</v>
      </c>
      <c r="L158" s="97"/>
    </row>
    <row r="159" spans="2:12" ht="18" customHeight="1">
      <c r="B159" s="78"/>
      <c r="C159" s="224"/>
      <c r="D159" s="977" t="s">
        <v>248</v>
      </c>
      <c r="E159" s="960"/>
      <c r="F159" s="960"/>
      <c r="G159" s="960"/>
      <c r="H159" s="960"/>
      <c r="I159" s="960"/>
      <c r="J159" s="140">
        <f>(L140+K155)</f>
        <v>0</v>
      </c>
      <c r="K159" s="140">
        <f>(M140+L155)</f>
        <v>0</v>
      </c>
      <c r="L159" s="218" t="s">
        <v>94</v>
      </c>
    </row>
    <row r="160" spans="2:12" ht="18" customHeight="1" thickBot="1">
      <c r="B160" s="192"/>
      <c r="C160" s="193"/>
      <c r="D160" s="194"/>
      <c r="E160" s="198"/>
      <c r="F160" s="198"/>
      <c r="G160" s="198"/>
      <c r="H160" s="198"/>
      <c r="I160" s="198"/>
      <c r="J160" s="198"/>
      <c r="K160" s="198"/>
      <c r="L160" s="195"/>
    </row>
    <row r="161" ht="18" customHeight="1" thickTop="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c r="Q352"/>
    </row>
    <row r="353" ht="12.75">
      <c r="Q353"/>
    </row>
    <row r="354" ht="12.75">
      <c r="Q354"/>
    </row>
    <row r="355" ht="12.75">
      <c r="Q355"/>
    </row>
    <row r="356" ht="12.75">
      <c r="Q356"/>
    </row>
  </sheetData>
  <sheetProtection password="CD08" sheet="1" objects="1" scenarios="1"/>
  <mergeCells count="24">
    <mergeCell ref="E155:J155"/>
    <mergeCell ref="D159:I159"/>
    <mergeCell ref="I30:L30"/>
    <mergeCell ref="J118:M118"/>
    <mergeCell ref="K48:N48"/>
    <mergeCell ref="L34:O34"/>
    <mergeCell ref="C32:L32"/>
    <mergeCell ref="E143:L143"/>
    <mergeCell ref="C141:F141"/>
    <mergeCell ref="F140:K140"/>
    <mergeCell ref="C15:G15"/>
    <mergeCell ref="C51:L51"/>
    <mergeCell ref="K46:N46"/>
    <mergeCell ref="C125:F125"/>
    <mergeCell ref="B9:C9"/>
    <mergeCell ref="B10:C10"/>
    <mergeCell ref="B11:C11"/>
    <mergeCell ref="C16:I16"/>
    <mergeCell ref="E18:N18"/>
    <mergeCell ref="E34:K34"/>
    <mergeCell ref="C57:E57"/>
    <mergeCell ref="C58:E58"/>
    <mergeCell ref="E128:M128"/>
    <mergeCell ref="B5:J5"/>
  </mergeCells>
  <printOptions/>
  <pageMargins left="0.75" right="0.75" top="0.64" bottom="0.64" header="0.5" footer="0.5"/>
  <pageSetup fitToHeight="2" fitToWidth="1" horizontalDpi="600" verticalDpi="600" orientation="landscape" scale="38" r:id="rId1"/>
  <headerFooter alignWithMargins="0">
    <oddHeader>&amp;L&amp;D&amp;R&amp;F</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R36"/>
  <sheetViews>
    <sheetView zoomScale="75" zoomScaleNormal="75" zoomScalePageLayoutView="0" workbookViewId="0" topLeftCell="A1">
      <selection activeCell="A1" sqref="A1"/>
    </sheetView>
  </sheetViews>
  <sheetFormatPr defaultColWidth="9.7109375" defaultRowHeight="12.75"/>
  <cols>
    <col min="1" max="1" width="3.57421875" style="4" customWidth="1"/>
    <col min="2" max="2" width="9.140625" style="4" customWidth="1"/>
    <col min="3" max="3" width="3.8515625" style="4" customWidth="1"/>
    <col min="4" max="4" width="18.140625" style="4" customWidth="1"/>
    <col min="5" max="5" width="16.7109375" style="4" customWidth="1"/>
    <col min="6" max="6" width="19.28125" style="4" customWidth="1"/>
    <col min="7" max="7" width="14.7109375" style="4" customWidth="1"/>
    <col min="8" max="8" width="21.00390625" style="4" customWidth="1"/>
    <col min="9" max="9" width="11.7109375" style="4" customWidth="1"/>
    <col min="10" max="10" width="11.00390625" style="4" customWidth="1"/>
    <col min="11" max="11" width="15.140625" style="4" customWidth="1"/>
    <col min="12" max="12" width="19.7109375" style="4" customWidth="1"/>
    <col min="13" max="13" width="13.00390625" style="4" customWidth="1"/>
    <col min="14" max="14" width="19.8515625" style="4" customWidth="1"/>
    <col min="15" max="15" width="18.57421875" style="4" customWidth="1"/>
    <col min="16" max="16" width="21.00390625" style="4" customWidth="1"/>
    <col min="17" max="17" width="21.421875" style="4" customWidth="1"/>
    <col min="18" max="16384" width="9.7109375" style="4" customWidth="1"/>
  </cols>
  <sheetData>
    <row r="1" spans="2:12" ht="16.5" customHeight="1">
      <c r="B1" s="261"/>
      <c r="C1" s="292"/>
      <c r="D1" s="292"/>
      <c r="E1" s="292"/>
      <c r="F1" s="292"/>
      <c r="G1" s="292"/>
      <c r="H1" s="292"/>
      <c r="I1" s="292"/>
      <c r="J1" s="292"/>
      <c r="K1" s="292"/>
      <c r="L1" s="292"/>
    </row>
    <row r="2" spans="2:15" ht="35.25" customHeight="1">
      <c r="B2" s="933" t="s">
        <v>229</v>
      </c>
      <c r="C2" s="934"/>
      <c r="D2" s="934"/>
      <c r="E2" s="934"/>
      <c r="F2" s="934"/>
      <c r="G2" s="934"/>
      <c r="H2" s="935"/>
      <c r="I2" s="935"/>
      <c r="J2" s="935"/>
      <c r="K2" s="935"/>
      <c r="L2" s="936"/>
      <c r="M2" s="881"/>
      <c r="N2" s="881"/>
      <c r="O2" s="881"/>
    </row>
    <row r="4" spans="4:12" s="1" customFormat="1" ht="46.5" customHeight="1">
      <c r="D4" s="992" t="s">
        <v>223</v>
      </c>
      <c r="E4" s="993"/>
      <c r="F4" s="993"/>
      <c r="G4" s="993"/>
      <c r="H4" s="993"/>
      <c r="I4" s="993"/>
      <c r="J4" s="993"/>
      <c r="K4" s="993"/>
      <c r="L4" s="993"/>
    </row>
    <row r="5" spans="4:12" s="1" customFormat="1" ht="17.25" customHeight="1">
      <c r="D5" s="476"/>
      <c r="E5" s="477"/>
      <c r="F5" s="477"/>
      <c r="G5" s="477"/>
      <c r="H5" s="477"/>
      <c r="I5" s="477"/>
      <c r="J5" s="477"/>
      <c r="K5" s="477"/>
      <c r="L5" s="477"/>
    </row>
    <row r="6" s="1" customFormat="1" ht="18" customHeight="1">
      <c r="D6" s="276" t="s">
        <v>227</v>
      </c>
    </row>
    <row r="7" spans="4:8" s="1" customFormat="1" ht="18" customHeight="1" thickBot="1">
      <c r="D7" s="276"/>
      <c r="G7" s="440"/>
      <c r="H7" s="440"/>
    </row>
    <row r="8" spans="3:8" s="1" customFormat="1" ht="24" customHeight="1" thickTop="1">
      <c r="C8" s="467" t="s">
        <v>177</v>
      </c>
      <c r="D8" s="458"/>
      <c r="E8" s="462"/>
      <c r="F8" s="458"/>
      <c r="H8" s="471"/>
    </row>
    <row r="9" spans="3:8" s="1" customFormat="1" ht="18" customHeight="1">
      <c r="C9" s="466"/>
      <c r="E9" s="928" t="s">
        <v>404</v>
      </c>
      <c r="F9" s="928"/>
      <c r="G9" s="449"/>
      <c r="H9" s="335"/>
    </row>
    <row r="10" spans="3:8" s="1" customFormat="1" ht="18" customHeight="1">
      <c r="C10" s="466"/>
      <c r="E10" s="928" t="s">
        <v>464</v>
      </c>
      <c r="F10" s="928"/>
      <c r="G10" s="161"/>
      <c r="H10" s="335"/>
    </row>
    <row r="11" spans="3:8" s="1" customFormat="1" ht="18" customHeight="1">
      <c r="C11" s="466"/>
      <c r="E11" s="928" t="s">
        <v>255</v>
      </c>
      <c r="F11" s="985"/>
      <c r="G11" s="162"/>
      <c r="H11" s="335"/>
    </row>
    <row r="12" spans="3:8" s="1" customFormat="1" ht="18" customHeight="1" thickBot="1">
      <c r="C12" s="456"/>
      <c r="D12" s="440"/>
      <c r="E12" s="440"/>
      <c r="F12" s="440"/>
      <c r="G12" s="440"/>
      <c r="H12" s="457"/>
    </row>
    <row r="13" spans="3:18" s="1" customFormat="1" ht="18" customHeight="1" thickBot="1" thickTop="1">
      <c r="C13" s="2"/>
      <c r="Q13" s="440"/>
      <c r="R13" s="440"/>
    </row>
    <row r="14" spans="2:18" s="1" customFormat="1" ht="45" customHeight="1" thickBot="1" thickTop="1">
      <c r="B14" s="239"/>
      <c r="C14" s="994" t="s">
        <v>223</v>
      </c>
      <c r="D14" s="995"/>
      <c r="E14" s="995"/>
      <c r="F14" s="995"/>
      <c r="G14" s="995"/>
      <c r="H14" s="995"/>
      <c r="I14" s="995"/>
      <c r="J14" s="995"/>
      <c r="K14" s="995"/>
      <c r="L14" s="240"/>
      <c r="M14" s="240"/>
      <c r="N14" s="240"/>
      <c r="O14" s="240"/>
      <c r="P14" s="240"/>
      <c r="Q14" s="240"/>
      <c r="R14" s="241"/>
    </row>
    <row r="15" spans="2:18" s="1" customFormat="1" ht="18" customHeight="1" thickTop="1">
      <c r="B15" s="57"/>
      <c r="C15" s="65"/>
      <c r="D15" s="65"/>
      <c r="E15" s="65"/>
      <c r="F15" s="65"/>
      <c r="G15" s="65"/>
      <c r="H15" s="65"/>
      <c r="I15" s="65"/>
      <c r="J15" s="65"/>
      <c r="K15" s="65"/>
      <c r="L15" s="65"/>
      <c r="M15" s="65"/>
      <c r="N15" s="65"/>
      <c r="O15" s="65"/>
      <c r="P15" s="65"/>
      <c r="Q15" s="65"/>
      <c r="R15" s="58"/>
    </row>
    <row r="16" spans="2:18" s="1" customFormat="1" ht="27" customHeight="1">
      <c r="B16" s="57"/>
      <c r="C16" s="65"/>
      <c r="D16" s="991" t="s">
        <v>217</v>
      </c>
      <c r="E16" s="881"/>
      <c r="F16" s="881"/>
      <c r="G16" s="881"/>
      <c r="H16" s="881"/>
      <c r="I16" s="881"/>
      <c r="J16" s="881"/>
      <c r="K16" s="881"/>
      <c r="L16" s="881"/>
      <c r="M16" s="290"/>
      <c r="N16" s="290"/>
      <c r="O16" s="290"/>
      <c r="P16" s="65"/>
      <c r="Q16" s="65"/>
      <c r="R16" s="58"/>
    </row>
    <row r="17" spans="2:18" s="1" customFormat="1" ht="18" customHeight="1">
      <c r="B17" s="57"/>
      <c r="C17" s="65"/>
      <c r="D17" s="65"/>
      <c r="E17" s="65"/>
      <c r="F17" s="65"/>
      <c r="G17" s="65"/>
      <c r="H17" s="65"/>
      <c r="I17" s="65"/>
      <c r="J17" s="65"/>
      <c r="K17" s="65"/>
      <c r="L17" s="65"/>
      <c r="M17" s="283"/>
      <c r="N17" s="283"/>
      <c r="O17" s="65"/>
      <c r="P17" s="283"/>
      <c r="Q17" s="65"/>
      <c r="R17" s="58"/>
    </row>
    <row r="18" spans="2:18" ht="15" customHeight="1">
      <c r="B18" s="57"/>
      <c r="C18" s="65"/>
      <c r="D18" s="3" t="s">
        <v>353</v>
      </c>
      <c r="E18" s="3" t="s">
        <v>368</v>
      </c>
      <c r="F18" s="3" t="s">
        <v>369</v>
      </c>
      <c r="G18" s="3" t="s">
        <v>370</v>
      </c>
      <c r="H18" s="3" t="s">
        <v>384</v>
      </c>
      <c r="I18" s="3"/>
      <c r="J18" s="3"/>
      <c r="K18" s="3" t="s">
        <v>385</v>
      </c>
      <c r="L18" s="3" t="s">
        <v>386</v>
      </c>
      <c r="M18" s="3" t="s">
        <v>543</v>
      </c>
      <c r="N18" s="3" t="s">
        <v>610</v>
      </c>
      <c r="O18" s="3" t="s">
        <v>611</v>
      </c>
      <c r="P18" s="3" t="s">
        <v>466</v>
      </c>
      <c r="Q18" s="3" t="s">
        <v>467</v>
      </c>
      <c r="R18" s="58"/>
    </row>
    <row r="19" spans="2:18" ht="14.25" customHeight="1">
      <c r="B19" s="57"/>
      <c r="C19" s="65"/>
      <c r="D19" s="3" t="s">
        <v>256</v>
      </c>
      <c r="E19" s="3" t="s">
        <v>257</v>
      </c>
      <c r="F19" s="287" t="s">
        <v>263</v>
      </c>
      <c r="G19" s="3" t="s">
        <v>258</v>
      </c>
      <c r="H19" s="3" t="s">
        <v>259</v>
      </c>
      <c r="I19" s="3"/>
      <c r="J19" s="3"/>
      <c r="K19" s="32" t="s">
        <v>262</v>
      </c>
      <c r="L19" s="3" t="s">
        <v>271</v>
      </c>
      <c r="M19" s="3" t="s">
        <v>526</v>
      </c>
      <c r="N19" s="3" t="s">
        <v>532</v>
      </c>
      <c r="O19" s="18" t="s">
        <v>533</v>
      </c>
      <c r="P19" s="3" t="s">
        <v>581</v>
      </c>
      <c r="Q19" s="3" t="s">
        <v>582</v>
      </c>
      <c r="R19" s="58"/>
    </row>
    <row r="20" spans="2:18" ht="57" customHeight="1">
      <c r="B20" s="57"/>
      <c r="C20" s="65"/>
      <c r="D20" s="5" t="s">
        <v>408</v>
      </c>
      <c r="E20" s="5" t="s">
        <v>407</v>
      </c>
      <c r="F20" s="5" t="s">
        <v>468</v>
      </c>
      <c r="G20" s="8" t="s">
        <v>469</v>
      </c>
      <c r="H20" s="5" t="s">
        <v>410</v>
      </c>
      <c r="I20" s="989" t="s">
        <v>480</v>
      </c>
      <c r="J20" s="990"/>
      <c r="K20" s="5" t="s">
        <v>470</v>
      </c>
      <c r="L20" s="5" t="s">
        <v>481</v>
      </c>
      <c r="M20" s="5" t="s">
        <v>482</v>
      </c>
      <c r="N20" s="5" t="s">
        <v>483</v>
      </c>
      <c r="O20" s="8" t="s">
        <v>484</v>
      </c>
      <c r="P20" s="288" t="s">
        <v>608</v>
      </c>
      <c r="Q20" s="284" t="s">
        <v>609</v>
      </c>
      <c r="R20" s="58"/>
    </row>
    <row r="21" spans="2:18" ht="126" customHeight="1">
      <c r="B21" s="57"/>
      <c r="C21" s="65"/>
      <c r="D21" s="6"/>
      <c r="E21" s="6"/>
      <c r="F21" s="6"/>
      <c r="G21" s="288"/>
      <c r="H21" s="8" t="s">
        <v>612</v>
      </c>
      <c r="I21" s="5" t="s">
        <v>471</v>
      </c>
      <c r="J21" s="5" t="s">
        <v>472</v>
      </c>
      <c r="K21" s="8" t="s">
        <v>334</v>
      </c>
      <c r="L21" s="8" t="s">
        <v>473</v>
      </c>
      <c r="M21" s="8" t="s">
        <v>474</v>
      </c>
      <c r="N21" s="8" t="s">
        <v>475</v>
      </c>
      <c r="O21" s="8" t="s">
        <v>476</v>
      </c>
      <c r="P21" s="8" t="s">
        <v>477</v>
      </c>
      <c r="Q21" s="286" t="s">
        <v>478</v>
      </c>
      <c r="R21" s="58"/>
    </row>
    <row r="22" spans="2:18" ht="26.25" customHeight="1">
      <c r="B22" s="57"/>
      <c r="C22" s="65"/>
      <c r="D22" s="9" t="s">
        <v>409</v>
      </c>
      <c r="E22" s="124" t="s">
        <v>411</v>
      </c>
      <c r="F22" s="124" t="s">
        <v>411</v>
      </c>
      <c r="G22" s="7" t="s">
        <v>409</v>
      </c>
      <c r="H22" s="124" t="s">
        <v>514</v>
      </c>
      <c r="I22" s="245"/>
      <c r="J22" s="245"/>
      <c r="K22" s="124" t="s">
        <v>485</v>
      </c>
      <c r="L22" s="124"/>
      <c r="M22" s="124"/>
      <c r="N22" s="9" t="s">
        <v>514</v>
      </c>
      <c r="O22" s="7" t="s">
        <v>514</v>
      </c>
      <c r="P22" s="289" t="s">
        <v>479</v>
      </c>
      <c r="Q22" s="285" t="s">
        <v>479</v>
      </c>
      <c r="R22" s="58"/>
    </row>
    <row r="23" spans="2:18" ht="19.5" customHeight="1">
      <c r="B23" s="57"/>
      <c r="C23" s="232" t="s">
        <v>579</v>
      </c>
      <c r="D23" s="551">
        <v>1000000</v>
      </c>
      <c r="E23" s="551">
        <v>500000</v>
      </c>
      <c r="F23" s="552">
        <v>2679000</v>
      </c>
      <c r="G23" s="291" t="s">
        <v>626</v>
      </c>
      <c r="H23" s="291">
        <v>587.4</v>
      </c>
      <c r="I23" s="291">
        <f>IF(ISERROR(D23/(F23-E23)),"",D23/(F23-E23))</f>
        <v>0.45892611289582375</v>
      </c>
      <c r="J23" s="291">
        <f>IF(ISERROR((F23-D23)/E23),"",(F23-D23)/E23)</f>
        <v>3.358</v>
      </c>
      <c r="K23" s="84">
        <v>2.3</v>
      </c>
      <c r="L23" s="69">
        <f>+IF(ISERROR((D23+K23*E23)/(F23*K23)),"",(D23+K23*E23)/(F23*K23))</f>
        <v>0.3489296784978172</v>
      </c>
      <c r="M23" s="69">
        <f>IF(ISERROR(K23*L23),"",K23*L23)</f>
        <v>0.8025382605449795</v>
      </c>
      <c r="N23" s="69">
        <f>+IF(ISERROR(H23*(D23/(D23+E23*K23))),"",H23*(D23/(D23+E23*K23)))</f>
        <v>273.2093023255814</v>
      </c>
      <c r="O23" s="191">
        <f>IF(ISERROR(H23-N23),"",H23-N23)</f>
        <v>314.1906976744186</v>
      </c>
      <c r="P23" s="191">
        <f>IF(ISERROR(N23*1000/D23),"",N23*1000/D23)</f>
        <v>0.27320930232558144</v>
      </c>
      <c r="Q23" s="191">
        <f>IF(ISERROR(O23*1000/E23),"",O23*1000/E23)</f>
        <v>0.6283813953488371</v>
      </c>
      <c r="R23" s="58"/>
    </row>
    <row r="24" spans="2:18" s="13" customFormat="1" ht="10.5" customHeight="1">
      <c r="B24" s="82"/>
      <c r="C24" s="231"/>
      <c r="D24" s="35"/>
      <c r="E24" s="10"/>
      <c r="F24" s="10"/>
      <c r="G24" s="11"/>
      <c r="H24" s="11"/>
      <c r="I24" s="491">
        <f>IF(ISERROR(D24/(F24-E24)),"",D24/(F24-E24))</f>
      </c>
      <c r="J24" s="491">
        <f>IF(ISERROR((F24-D24)/E24),"",(F24-D24)/E24)</f>
      </c>
      <c r="K24" s="10"/>
      <c r="L24" s="492"/>
      <c r="M24" s="492"/>
      <c r="N24" s="492"/>
      <c r="O24" s="493"/>
      <c r="P24" s="493"/>
      <c r="Q24" s="493"/>
      <c r="R24" s="112"/>
    </row>
    <row r="25" spans="2:18" s="37" customFormat="1" ht="20.25" customHeight="1">
      <c r="B25" s="89" t="s">
        <v>493</v>
      </c>
      <c r="C25" s="93"/>
      <c r="D25" s="653"/>
      <c r="E25" s="666"/>
      <c r="F25" s="667"/>
      <c r="G25" s="668"/>
      <c r="H25" s="667"/>
      <c r="I25" s="133">
        <f>IF(ISERROR(D25/(F25-E25)),"",D25/(F25-E25))</f>
      </c>
      <c r="J25" s="133">
        <f>IF(ISERROR((F25-D25)/E25),"",(F25-D25)/E25)</f>
      </c>
      <c r="K25" s="666"/>
      <c r="L25" s="494">
        <f>+IF(ISERROR((D25+K25*E25)/(F25*K25)),"",(D25+K25*E25)/(F25*K25))</f>
      </c>
      <c r="M25" s="494">
        <f>IF(ISERROR(K25*L25),"",K25*L25)</f>
      </c>
      <c r="N25" s="138">
        <f>+IF(ISERROR(H25*(D25/(D25+E25*K25))),"",H25*(D25/(D25+E25*K25)))</f>
      </c>
      <c r="O25" s="133">
        <f>IF(ISERROR(H25-N25),"",H25-N25)</f>
      </c>
      <c r="P25" s="133">
        <f>IF(ISERROR(N25*1000/D25),"",N25*1000/D25)</f>
      </c>
      <c r="Q25" s="133">
        <f>IF(ISERROR(O25*1000/E25),"",O25*1000/E25)</f>
      </c>
      <c r="R25" s="86"/>
    </row>
    <row r="26" spans="2:18" s="37" customFormat="1" ht="19.5" customHeight="1">
      <c r="B26" s="89" t="s">
        <v>494</v>
      </c>
      <c r="C26" s="93"/>
      <c r="D26" s="653"/>
      <c r="E26" s="653"/>
      <c r="F26" s="653"/>
      <c r="G26" s="669"/>
      <c r="H26" s="666"/>
      <c r="I26" s="133">
        <f>IF(ISERROR(D26/(F26-E26)),"",D26/(F26-E26))</f>
      </c>
      <c r="J26" s="133">
        <f>IF(ISERROR((F26-D26)/E26),"",(F26-D26)/E26)</f>
      </c>
      <c r="K26" s="666"/>
      <c r="L26" s="494">
        <f>+IF(ISERROR((D26+K26*E26)/(F26*K26)),"",(D26+K26*E26)/(F26*K26))</f>
      </c>
      <c r="M26" s="494">
        <f>IF(ISERROR(K26*L26),"",K26*L26)</f>
      </c>
      <c r="N26" s="138">
        <f>+IF(ISERROR(H26*(D26/(D26+E26*K26))),"",H26*(D26/(D26+E26*K26)))</f>
      </c>
      <c r="O26" s="133">
        <f>IF(ISERROR(H26-N26),"",H26-N26)</f>
      </c>
      <c r="P26" s="133">
        <f>IF(ISERROR(N26*1000/D26),"",N26*1000/D26)</f>
      </c>
      <c r="Q26" s="133">
        <f>IF(ISERROR(O26*1000/E26),"",O26*1000/E26)</f>
      </c>
      <c r="R26" s="86"/>
    </row>
    <row r="27" spans="2:18" s="37" customFormat="1" ht="19.5" customHeight="1">
      <c r="B27" s="89"/>
      <c r="C27" s="93"/>
      <c r="D27" s="653"/>
      <c r="E27" s="670"/>
      <c r="F27" s="653"/>
      <c r="G27" s="669"/>
      <c r="H27" s="666"/>
      <c r="I27" s="133">
        <f>IF(ISERROR(D27/(F27-E27)),"",D27/(F27-E27))</f>
      </c>
      <c r="J27" s="133">
        <f>IF(ISERROR((F27-D27)/E27),"",(F27-D27)/E27)</f>
      </c>
      <c r="K27" s="666"/>
      <c r="L27" s="494">
        <f>+IF(ISERROR((D27+K27*E27)/(F27*K27)),"",(D27+K27*E27)/(F27*K27))</f>
      </c>
      <c r="M27" s="494">
        <f>IF(ISERROR(K27*L27),"",K27*L27)</f>
      </c>
      <c r="N27" s="138">
        <f>+IF(ISERROR(H27*(D27/(D27+E27*K27))),"",H27*(D27/(D27+E27*K27)))</f>
      </c>
      <c r="O27" s="133">
        <f>IF(ISERROR(H27-N27),"",H27-N27)</f>
      </c>
      <c r="P27" s="133">
        <f>IF(ISERROR(N27*1000/D27),"",N27*1000/D27)</f>
      </c>
      <c r="Q27" s="133">
        <f>IF(ISERROR(O27*1000/E27),"",O27*1000/E27)</f>
      </c>
      <c r="R27" s="86"/>
    </row>
    <row r="28" spans="2:18" ht="19.5" customHeight="1">
      <c r="B28" s="57"/>
      <c r="C28" s="65"/>
      <c r="D28" s="63"/>
      <c r="E28" s="63"/>
      <c r="F28" s="63"/>
      <c r="G28" s="63"/>
      <c r="H28" s="63"/>
      <c r="I28" s="63"/>
      <c r="J28" s="63"/>
      <c r="K28" s="63"/>
      <c r="L28" s="63"/>
      <c r="M28" s="63"/>
      <c r="N28" s="233"/>
      <c r="O28" s="65"/>
      <c r="P28" s="233"/>
      <c r="Q28" s="224"/>
      <c r="R28" s="58"/>
    </row>
    <row r="29" spans="2:18" ht="13.5" thickBot="1">
      <c r="B29" s="80"/>
      <c r="C29" s="81"/>
      <c r="D29" s="81"/>
      <c r="E29" s="81"/>
      <c r="F29" s="81"/>
      <c r="G29" s="81"/>
      <c r="H29" s="81"/>
      <c r="I29" s="81"/>
      <c r="J29" s="81"/>
      <c r="K29" s="81"/>
      <c r="L29" s="81"/>
      <c r="M29" s="81"/>
      <c r="N29" s="81"/>
      <c r="O29" s="81"/>
      <c r="P29" s="81"/>
      <c r="Q29" s="81"/>
      <c r="R29" s="77"/>
    </row>
    <row r="30" ht="13.5" thickTop="1"/>
    <row r="33" spans="2:10" ht="112.5" customHeight="1">
      <c r="B33" s="986" t="s">
        <v>490</v>
      </c>
      <c r="C33" s="987"/>
      <c r="D33" s="987"/>
      <c r="E33" s="987"/>
      <c r="F33" s="987"/>
      <c r="G33" s="987"/>
      <c r="H33" s="987"/>
      <c r="I33" s="987"/>
      <c r="J33" s="988"/>
    </row>
    <row r="36" spans="12:13" ht="12.75">
      <c r="L36" s="147"/>
      <c r="M36" s="147"/>
    </row>
  </sheetData>
  <sheetProtection password="CAC8" sheet="1" objects="1" scenarios="1"/>
  <mergeCells count="9">
    <mergeCell ref="B2:O2"/>
    <mergeCell ref="E10:F10"/>
    <mergeCell ref="E11:F11"/>
    <mergeCell ref="B33:J33"/>
    <mergeCell ref="I20:J20"/>
    <mergeCell ref="D16:L16"/>
    <mergeCell ref="D4:L4"/>
    <mergeCell ref="C14:K14"/>
    <mergeCell ref="E9:F9"/>
  </mergeCells>
  <printOptions/>
  <pageMargins left="0.75" right="0.75" top="1" bottom="1" header="0.5" footer="0.5"/>
  <pageSetup fitToHeight="1" fitToWidth="1" horizontalDpi="600" verticalDpi="600" orientation="landscape" scale="46" r:id="rId1"/>
  <headerFooter alignWithMargins="0">
    <oddHeader>&amp;L&amp;D&amp;R&amp;F</oddHeader>
  </headerFooter>
  <rowBreaks count="1" manualBreakCount="1">
    <brk id="11" max="255" man="1"/>
  </rowBreaks>
</worksheet>
</file>

<file path=xl/worksheets/sheet8.xml><?xml version="1.0" encoding="utf-8"?>
<worksheet xmlns="http://schemas.openxmlformats.org/spreadsheetml/2006/main" xmlns:r="http://schemas.openxmlformats.org/officeDocument/2006/relationships">
  <sheetPr>
    <pageSetUpPr fitToPage="1"/>
  </sheetPr>
  <dimension ref="B1:M38"/>
  <sheetViews>
    <sheetView zoomScale="75" zoomScaleNormal="75" zoomScalePageLayoutView="0" workbookViewId="0" topLeftCell="A1">
      <selection activeCell="A1" sqref="A1"/>
    </sheetView>
  </sheetViews>
  <sheetFormatPr defaultColWidth="9.7109375" defaultRowHeight="12.75"/>
  <cols>
    <col min="1" max="1" width="9.140625" style="4" customWidth="1"/>
    <col min="2" max="2" width="3.8515625" style="4" customWidth="1"/>
    <col min="3" max="3" width="31.57421875" style="4" customWidth="1"/>
    <col min="4" max="4" width="18.8515625" style="4" customWidth="1"/>
    <col min="5" max="5" width="17.421875" style="4" customWidth="1"/>
    <col min="6" max="6" width="20.57421875" style="4" customWidth="1"/>
    <col min="7" max="7" width="22.140625" style="4" customWidth="1"/>
    <col min="8" max="8" width="20.57421875" style="4" customWidth="1"/>
    <col min="9" max="9" width="20.28125" style="4" customWidth="1"/>
    <col min="10" max="10" width="21.421875" style="4" customWidth="1"/>
    <col min="11" max="11" width="40.8515625" style="4" customWidth="1"/>
    <col min="12" max="16384" width="9.7109375" style="4" customWidth="1"/>
  </cols>
  <sheetData>
    <row r="1" spans="2:13" s="1" customFormat="1" ht="54.75" customHeight="1">
      <c r="B1" s="998" t="s">
        <v>229</v>
      </c>
      <c r="C1" s="999"/>
      <c r="D1" s="999"/>
      <c r="E1" s="999"/>
      <c r="F1" s="999"/>
      <c r="G1" s="999"/>
      <c r="H1" s="1000"/>
      <c r="I1" s="1000"/>
      <c r="J1" s="1001"/>
      <c r="K1" s="1002"/>
      <c r="L1" s="1002"/>
      <c r="M1" s="1002"/>
    </row>
    <row r="2" s="1" customFormat="1" ht="23.25" customHeight="1">
      <c r="C2" s="478" t="s">
        <v>224</v>
      </c>
    </row>
    <row r="3" s="1" customFormat="1" ht="24" customHeight="1">
      <c r="C3" s="478" t="s">
        <v>171</v>
      </c>
    </row>
    <row r="4" s="1" customFormat="1" ht="18" customHeight="1" thickBot="1">
      <c r="F4" s="440"/>
    </row>
    <row r="5" spans="2:7" s="1" customFormat="1" ht="18" customHeight="1" thickTop="1">
      <c r="B5" s="467" t="s">
        <v>177</v>
      </c>
      <c r="C5" s="458"/>
      <c r="D5" s="462"/>
      <c r="E5" s="458"/>
      <c r="G5" s="471"/>
    </row>
    <row r="6" spans="2:7" s="1" customFormat="1" ht="18" customHeight="1">
      <c r="B6" s="594"/>
      <c r="D6" s="928" t="s">
        <v>513</v>
      </c>
      <c r="E6" s="985"/>
      <c r="F6" s="159"/>
      <c r="G6" s="335"/>
    </row>
    <row r="7" spans="2:7" s="1" customFormat="1" ht="18" customHeight="1">
      <c r="B7" s="466"/>
      <c r="D7" s="928" t="s">
        <v>404</v>
      </c>
      <c r="E7" s="928"/>
      <c r="F7" s="449"/>
      <c r="G7" s="335"/>
    </row>
    <row r="8" spans="2:7" s="1" customFormat="1" ht="18" customHeight="1">
      <c r="B8" s="466"/>
      <c r="D8" s="928" t="s">
        <v>255</v>
      </c>
      <c r="E8" s="985"/>
      <c r="F8" s="162"/>
      <c r="G8" s="335"/>
    </row>
    <row r="9" spans="2:7" s="1" customFormat="1" ht="18" customHeight="1" thickBot="1">
      <c r="B9" s="456"/>
      <c r="C9" s="440"/>
      <c r="D9" s="440"/>
      <c r="E9" s="440"/>
      <c r="F9" s="440"/>
      <c r="G9" s="457"/>
    </row>
    <row r="10" s="1" customFormat="1" ht="18" customHeight="1" thickBot="1" thickTop="1"/>
    <row r="11" spans="2:12" s="1" customFormat="1" ht="18" customHeight="1" thickTop="1">
      <c r="B11" s="54"/>
      <c r="C11" s="216" t="s">
        <v>226</v>
      </c>
      <c r="D11" s="55"/>
      <c r="E11" s="55"/>
      <c r="F11" s="55"/>
      <c r="G11" s="55"/>
      <c r="H11" s="55"/>
      <c r="I11" s="55"/>
      <c r="J11" s="55"/>
      <c r="K11" s="55"/>
      <c r="L11" s="56"/>
    </row>
    <row r="12" spans="2:12" s="1" customFormat="1" ht="18" customHeight="1">
      <c r="B12" s="57"/>
      <c r="C12" s="65"/>
      <c r="D12" s="65"/>
      <c r="E12" s="65"/>
      <c r="F12" s="65"/>
      <c r="G12" s="65"/>
      <c r="H12" s="65"/>
      <c r="I12" s="65"/>
      <c r="J12" s="65"/>
      <c r="K12" s="65"/>
      <c r="L12" s="58"/>
    </row>
    <row r="13" spans="2:12" ht="19.5" customHeight="1">
      <c r="B13" s="57"/>
      <c r="C13" s="66"/>
      <c r="D13" s="3" t="s">
        <v>353</v>
      </c>
      <c r="E13" s="919" t="s">
        <v>368</v>
      </c>
      <c r="F13" s="1003"/>
      <c r="G13" s="1004"/>
      <c r="H13" s="919" t="s">
        <v>369</v>
      </c>
      <c r="I13" s="1003"/>
      <c r="J13" s="1004"/>
      <c r="K13" s="3" t="s">
        <v>370</v>
      </c>
      <c r="L13" s="58"/>
    </row>
    <row r="14" spans="2:12" ht="19.5" customHeight="1">
      <c r="B14" s="57"/>
      <c r="C14" s="66"/>
      <c r="D14" s="3" t="s">
        <v>256</v>
      </c>
      <c r="E14" s="3" t="s">
        <v>257</v>
      </c>
      <c r="F14" s="3" t="s">
        <v>263</v>
      </c>
      <c r="G14" s="3" t="s">
        <v>258</v>
      </c>
      <c r="H14" s="3" t="s">
        <v>259</v>
      </c>
      <c r="I14" s="3" t="s">
        <v>262</v>
      </c>
      <c r="J14" s="3" t="s">
        <v>271</v>
      </c>
      <c r="K14" s="3" t="s">
        <v>526</v>
      </c>
      <c r="L14" s="58"/>
    </row>
    <row r="15" spans="2:12" ht="45" customHeight="1">
      <c r="B15" s="57"/>
      <c r="C15" s="66"/>
      <c r="D15" s="5" t="s">
        <v>383</v>
      </c>
      <c r="E15" s="5" t="s">
        <v>578</v>
      </c>
      <c r="F15" s="5" t="s">
        <v>65</v>
      </c>
      <c r="G15" s="5" t="s">
        <v>66</v>
      </c>
      <c r="H15" s="8" t="s">
        <v>67</v>
      </c>
      <c r="I15" s="8" t="s">
        <v>68</v>
      </c>
      <c r="J15" s="8" t="s">
        <v>69</v>
      </c>
      <c r="K15" s="8" t="s">
        <v>62</v>
      </c>
      <c r="L15" s="58"/>
    </row>
    <row r="16" spans="2:12" ht="27.75" customHeight="1">
      <c r="B16" s="57"/>
      <c r="C16" s="66"/>
      <c r="D16" s="6"/>
      <c r="E16" s="6"/>
      <c r="F16" s="6"/>
      <c r="G16" s="6"/>
      <c r="H16" s="33" t="s">
        <v>205</v>
      </c>
      <c r="I16" s="33" t="s">
        <v>206</v>
      </c>
      <c r="J16" s="33" t="s">
        <v>207</v>
      </c>
      <c r="K16" s="33"/>
      <c r="L16" s="58"/>
    </row>
    <row r="17" spans="2:12" ht="19.5" customHeight="1">
      <c r="B17" s="57"/>
      <c r="C17" s="123"/>
      <c r="D17" s="7" t="s">
        <v>577</v>
      </c>
      <c r="E17" s="9" t="s">
        <v>119</v>
      </c>
      <c r="F17" s="9" t="s">
        <v>73</v>
      </c>
      <c r="G17" s="9" t="s">
        <v>74</v>
      </c>
      <c r="H17" s="9" t="s">
        <v>439</v>
      </c>
      <c r="I17" s="9" t="s">
        <v>70</v>
      </c>
      <c r="J17" s="9" t="s">
        <v>71</v>
      </c>
      <c r="K17" s="7" t="s">
        <v>605</v>
      </c>
      <c r="L17" s="58"/>
    </row>
    <row r="18" spans="2:12" ht="19.5" customHeight="1">
      <c r="B18" s="57"/>
      <c r="C18" s="68"/>
      <c r="D18" s="69"/>
      <c r="E18" s="69"/>
      <c r="F18" s="69"/>
      <c r="G18" s="69"/>
      <c r="H18" s="84"/>
      <c r="I18" s="84"/>
      <c r="J18" s="84"/>
      <c r="K18" s="84"/>
      <c r="L18" s="58"/>
    </row>
    <row r="19" spans="2:12" s="13" customFormat="1" ht="19.5" customHeight="1">
      <c r="B19" s="82"/>
      <c r="C19" s="121" t="s">
        <v>371</v>
      </c>
      <c r="D19" s="12"/>
      <c r="E19" s="12"/>
      <c r="F19" s="12"/>
      <c r="G19" s="12"/>
      <c r="H19" s="20"/>
      <c r="I19" s="20"/>
      <c r="J19" s="20"/>
      <c r="K19" s="20"/>
      <c r="L19" s="112"/>
    </row>
    <row r="20" spans="2:12" ht="51" customHeight="1">
      <c r="B20" s="57"/>
      <c r="C20" s="671"/>
      <c r="D20" s="666"/>
      <c r="E20" s="656"/>
      <c r="F20" s="871"/>
      <c r="G20" s="871"/>
      <c r="H20" s="133">
        <f>$D20*E20/2205</f>
        <v>0</v>
      </c>
      <c r="I20" s="807">
        <f>$D20*F20/2205</f>
        <v>0</v>
      </c>
      <c r="J20" s="807">
        <f>$D20*G20/2205</f>
        <v>0</v>
      </c>
      <c r="K20" s="675"/>
      <c r="L20" s="58"/>
    </row>
    <row r="21" spans="2:12" ht="50.25" customHeight="1">
      <c r="B21" s="57"/>
      <c r="C21" s="671"/>
      <c r="D21" s="666"/>
      <c r="E21" s="656"/>
      <c r="F21" s="871"/>
      <c r="G21" s="871"/>
      <c r="H21" s="133">
        <f aca="true" t="shared" si="0" ref="H21:H29">$D21*E21/2205</f>
        <v>0</v>
      </c>
      <c r="I21" s="807">
        <f aca="true" t="shared" si="1" ref="I21:I29">$D21*F21/2205</f>
        <v>0</v>
      </c>
      <c r="J21" s="807">
        <f aca="true" t="shared" si="2" ref="J21:J29">$D21*G21/2205</f>
        <v>0</v>
      </c>
      <c r="K21" s="675"/>
      <c r="L21" s="58"/>
    </row>
    <row r="22" spans="2:12" ht="50.25" customHeight="1">
      <c r="B22" s="57"/>
      <c r="C22" s="671"/>
      <c r="D22" s="672"/>
      <c r="E22" s="656"/>
      <c r="F22" s="871"/>
      <c r="G22" s="871"/>
      <c r="H22" s="133">
        <f t="shared" si="0"/>
        <v>0</v>
      </c>
      <c r="I22" s="807">
        <f t="shared" si="1"/>
        <v>0</v>
      </c>
      <c r="J22" s="807">
        <f t="shared" si="2"/>
        <v>0</v>
      </c>
      <c r="K22" s="676"/>
      <c r="L22" s="58"/>
    </row>
    <row r="23" spans="2:12" ht="50.25" customHeight="1">
      <c r="B23" s="57"/>
      <c r="C23" s="671"/>
      <c r="D23" s="672"/>
      <c r="E23" s="656"/>
      <c r="F23" s="871"/>
      <c r="G23" s="871"/>
      <c r="H23" s="133">
        <f t="shared" si="0"/>
        <v>0</v>
      </c>
      <c r="I23" s="807">
        <f t="shared" si="1"/>
        <v>0</v>
      </c>
      <c r="J23" s="807">
        <f t="shared" si="2"/>
        <v>0</v>
      </c>
      <c r="K23" s="676"/>
      <c r="L23" s="58"/>
    </row>
    <row r="24" spans="2:12" ht="50.25" customHeight="1">
      <c r="B24" s="57"/>
      <c r="C24" s="673"/>
      <c r="D24" s="672"/>
      <c r="E24" s="656"/>
      <c r="F24" s="871"/>
      <c r="G24" s="871"/>
      <c r="H24" s="133">
        <f t="shared" si="0"/>
        <v>0</v>
      </c>
      <c r="I24" s="807">
        <f t="shared" si="1"/>
        <v>0</v>
      </c>
      <c r="J24" s="807">
        <f t="shared" si="2"/>
        <v>0</v>
      </c>
      <c r="K24" s="676"/>
      <c r="L24" s="58"/>
    </row>
    <row r="25" spans="2:12" ht="50.25" customHeight="1">
      <c r="B25" s="57"/>
      <c r="C25" s="671"/>
      <c r="D25" s="672"/>
      <c r="E25" s="656"/>
      <c r="F25" s="871"/>
      <c r="G25" s="871"/>
      <c r="H25" s="133">
        <f t="shared" si="0"/>
        <v>0</v>
      </c>
      <c r="I25" s="807">
        <f t="shared" si="1"/>
        <v>0</v>
      </c>
      <c r="J25" s="807">
        <f t="shared" si="2"/>
        <v>0</v>
      </c>
      <c r="K25" s="676"/>
      <c r="L25" s="58"/>
    </row>
    <row r="26" spans="2:12" ht="50.25" customHeight="1">
      <c r="B26" s="57"/>
      <c r="C26" s="673"/>
      <c r="D26" s="672"/>
      <c r="E26" s="656"/>
      <c r="F26" s="871"/>
      <c r="G26" s="871"/>
      <c r="H26" s="133">
        <f t="shared" si="0"/>
        <v>0</v>
      </c>
      <c r="I26" s="807">
        <f t="shared" si="1"/>
        <v>0</v>
      </c>
      <c r="J26" s="807">
        <f t="shared" si="2"/>
        <v>0</v>
      </c>
      <c r="K26" s="676"/>
      <c r="L26" s="58"/>
    </row>
    <row r="27" spans="2:12" ht="50.25" customHeight="1">
      <c r="B27" s="57"/>
      <c r="C27" s="673"/>
      <c r="D27" s="674"/>
      <c r="E27" s="656"/>
      <c r="F27" s="871"/>
      <c r="G27" s="871"/>
      <c r="H27" s="133">
        <f t="shared" si="0"/>
        <v>0</v>
      </c>
      <c r="I27" s="807">
        <f t="shared" si="1"/>
        <v>0</v>
      </c>
      <c r="J27" s="807">
        <f t="shared" si="2"/>
        <v>0</v>
      </c>
      <c r="K27" s="676"/>
      <c r="L27" s="58"/>
    </row>
    <row r="28" spans="2:12" ht="50.25" customHeight="1">
      <c r="B28" s="57"/>
      <c r="C28" s="671"/>
      <c r="D28" s="672"/>
      <c r="E28" s="674"/>
      <c r="F28" s="872"/>
      <c r="G28" s="872"/>
      <c r="H28" s="133">
        <f t="shared" si="0"/>
        <v>0</v>
      </c>
      <c r="I28" s="807">
        <f t="shared" si="1"/>
        <v>0</v>
      </c>
      <c r="J28" s="807">
        <f t="shared" si="2"/>
        <v>0</v>
      </c>
      <c r="K28" s="676"/>
      <c r="L28" s="58"/>
    </row>
    <row r="29" spans="2:12" ht="51" customHeight="1">
      <c r="B29" s="57"/>
      <c r="C29" s="671"/>
      <c r="D29" s="672"/>
      <c r="E29" s="672"/>
      <c r="F29" s="873"/>
      <c r="G29" s="873"/>
      <c r="H29" s="133">
        <f t="shared" si="0"/>
        <v>0</v>
      </c>
      <c r="I29" s="807">
        <f t="shared" si="1"/>
        <v>0</v>
      </c>
      <c r="J29" s="807">
        <f t="shared" si="2"/>
        <v>0</v>
      </c>
      <c r="K29" s="676"/>
      <c r="L29" s="58"/>
    </row>
    <row r="30" spans="2:12" ht="19.5" customHeight="1">
      <c r="B30" s="57"/>
      <c r="C30" s="65"/>
      <c r="D30" s="65"/>
      <c r="E30" s="65"/>
      <c r="F30" s="65"/>
      <c r="G30" s="65"/>
      <c r="H30" s="735" t="s">
        <v>40</v>
      </c>
      <c r="I30" s="735" t="s">
        <v>41</v>
      </c>
      <c r="J30" s="735" t="s">
        <v>42</v>
      </c>
      <c r="K30" s="65"/>
      <c r="L30" s="58"/>
    </row>
    <row r="31" spans="2:12" s="14" customFormat="1" ht="19.5" customHeight="1">
      <c r="B31" s="78"/>
      <c r="C31" s="79"/>
      <c r="D31" s="79"/>
      <c r="E31" s="874"/>
      <c r="F31" s="996" t="s">
        <v>63</v>
      </c>
      <c r="G31" s="997"/>
      <c r="H31" s="140">
        <f>SUM(H20:H29)</f>
        <v>0</v>
      </c>
      <c r="I31" s="875">
        <f>SUM(I20:I29)</f>
        <v>0</v>
      </c>
      <c r="J31" s="875">
        <f>SUM(J20:J29)</f>
        <v>0</v>
      </c>
      <c r="K31" s="79"/>
      <c r="L31" s="113"/>
    </row>
    <row r="32" spans="2:12" s="14" customFormat="1" ht="19.5" customHeight="1">
      <c r="B32" s="78"/>
      <c r="C32" s="79"/>
      <c r="D32" s="79"/>
      <c r="E32" s="79"/>
      <c r="F32" s="79"/>
      <c r="G32" s="79"/>
      <c r="H32" s="79"/>
      <c r="I32" s="79"/>
      <c r="J32" s="79"/>
      <c r="K32" s="79"/>
      <c r="L32" s="113"/>
    </row>
    <row r="33" spans="2:12" s="14" customFormat="1" ht="57" customHeight="1">
      <c r="B33" s="78"/>
      <c r="C33" s="896" t="s">
        <v>607</v>
      </c>
      <c r="D33" s="896"/>
      <c r="E33" s="896"/>
      <c r="F33" s="896"/>
      <c r="G33" s="896"/>
      <c r="H33" s="896"/>
      <c r="I33" s="896"/>
      <c r="J33" s="896"/>
      <c r="K33" s="79"/>
      <c r="L33" s="113"/>
    </row>
    <row r="34" spans="2:12" ht="19.5" customHeight="1" thickBot="1">
      <c r="B34" s="80"/>
      <c r="C34" s="81"/>
      <c r="D34" s="81"/>
      <c r="E34" s="81"/>
      <c r="F34" s="81"/>
      <c r="G34" s="81"/>
      <c r="H34" s="81"/>
      <c r="I34" s="81"/>
      <c r="J34" s="81"/>
      <c r="K34" s="81"/>
      <c r="L34" s="77"/>
    </row>
    <row r="35" ht="13.5" thickTop="1"/>
    <row r="37" spans="3:7" ht="15">
      <c r="C37" s="179" t="s">
        <v>72</v>
      </c>
      <c r="D37" s="176"/>
      <c r="E37" s="176"/>
      <c r="F37" s="176"/>
      <c r="G37" s="2"/>
    </row>
    <row r="38" spans="3:7" ht="15">
      <c r="C38" s="177" t="s">
        <v>64</v>
      </c>
      <c r="D38" s="177"/>
      <c r="E38" s="177"/>
      <c r="F38" s="177"/>
      <c r="G38" s="178"/>
    </row>
  </sheetData>
  <sheetProtection password="CD08" sheet="1" objects="1" scenarios="1"/>
  <mergeCells count="8">
    <mergeCell ref="F31:G31"/>
    <mergeCell ref="C33:J33"/>
    <mergeCell ref="B1:M1"/>
    <mergeCell ref="D7:E7"/>
    <mergeCell ref="D8:E8"/>
    <mergeCell ref="D6:E6"/>
    <mergeCell ref="E13:G13"/>
    <mergeCell ref="H13:J13"/>
  </mergeCells>
  <printOptions horizontalCentered="1"/>
  <pageMargins left="0.75" right="0.75" top="1" bottom="1" header="0.5" footer="0.5"/>
  <pageSetup fitToHeight="1" fitToWidth="1" horizontalDpi="600" verticalDpi="600" orientation="landscape" scale="54" r:id="rId1"/>
  <headerFooter alignWithMargins="0">
    <oddHeader>&amp;L&amp;D&amp;R&amp;F</oddHeader>
  </headerFooter>
  <rowBreaks count="1" manualBreakCount="1">
    <brk id="8" max="255" man="1"/>
  </rowBreaks>
</worksheet>
</file>

<file path=xl/worksheets/sheet9.xml><?xml version="1.0" encoding="utf-8"?>
<worksheet xmlns="http://schemas.openxmlformats.org/spreadsheetml/2006/main" xmlns:r="http://schemas.openxmlformats.org/officeDocument/2006/relationships">
  <sheetPr>
    <pageSetUpPr fitToPage="1"/>
  </sheetPr>
  <dimension ref="B1:O36"/>
  <sheetViews>
    <sheetView zoomScale="75" zoomScaleNormal="75" zoomScalePageLayoutView="0" workbookViewId="0" topLeftCell="A1">
      <selection activeCell="A1" sqref="A1"/>
    </sheetView>
  </sheetViews>
  <sheetFormatPr defaultColWidth="9.7109375" defaultRowHeight="12.75"/>
  <cols>
    <col min="1" max="1" width="4.00390625" style="4" customWidth="1"/>
    <col min="2" max="2" width="3.8515625" style="4" customWidth="1"/>
    <col min="3" max="3" width="31.57421875" style="4" customWidth="1"/>
    <col min="4" max="4" width="17.00390625" style="4" customWidth="1"/>
    <col min="5" max="5" width="19.140625" style="4" customWidth="1"/>
    <col min="6" max="6" width="19.57421875" style="4" customWidth="1"/>
    <col min="7" max="7" width="21.140625" style="4" customWidth="1"/>
    <col min="8" max="8" width="25.7109375" style="4" customWidth="1"/>
    <col min="9" max="9" width="21.00390625" style="4" customWidth="1"/>
    <col min="10" max="10" width="22.57421875" style="4" customWidth="1"/>
    <col min="11" max="11" width="21.421875" style="4" customWidth="1"/>
    <col min="12" max="12" width="24.8515625" style="4" customWidth="1"/>
    <col min="13" max="13" width="15.7109375" style="4" customWidth="1"/>
    <col min="14" max="14" width="29.7109375" style="4" customWidth="1"/>
    <col min="15" max="16384" width="9.7109375" style="4" customWidth="1"/>
  </cols>
  <sheetData>
    <row r="1" spans="2:13" ht="56.25" customHeight="1">
      <c r="B1" s="998" t="s">
        <v>229</v>
      </c>
      <c r="C1" s="999"/>
      <c r="D1" s="999"/>
      <c r="E1" s="999"/>
      <c r="F1" s="999"/>
      <c r="G1" s="999"/>
      <c r="H1" s="1000"/>
      <c r="I1" s="1000"/>
      <c r="J1" s="1001"/>
      <c r="K1" s="1002"/>
      <c r="L1" s="1002"/>
      <c r="M1" s="1002"/>
    </row>
    <row r="2" ht="21.75" customHeight="1">
      <c r="C2" s="475" t="s">
        <v>213</v>
      </c>
    </row>
    <row r="3" ht="18" customHeight="1">
      <c r="C3" s="38"/>
    </row>
    <row r="4" s="1" customFormat="1" ht="19.5" customHeight="1">
      <c r="C4" s="179" t="s">
        <v>75</v>
      </c>
    </row>
    <row r="5" s="1" customFormat="1" ht="19.5" customHeight="1">
      <c r="C5" s="177" t="s">
        <v>76</v>
      </c>
    </row>
    <row r="6" s="1" customFormat="1" ht="19.5" customHeight="1" thickBot="1">
      <c r="C6" s="177"/>
    </row>
    <row r="7" spans="2:7" s="1" customFormat="1" ht="18" customHeight="1" thickTop="1">
      <c r="B7" s="467" t="s">
        <v>177</v>
      </c>
      <c r="C7" s="458"/>
      <c r="D7" s="462"/>
      <c r="E7" s="458"/>
      <c r="F7" s="595"/>
      <c r="G7" s="471"/>
    </row>
    <row r="8" spans="2:7" s="1" customFormat="1" ht="18" customHeight="1">
      <c r="B8" s="594"/>
      <c r="D8" s="928" t="s">
        <v>513</v>
      </c>
      <c r="E8" s="985"/>
      <c r="F8" s="159"/>
      <c r="G8" s="335"/>
    </row>
    <row r="9" spans="2:7" s="1" customFormat="1" ht="18" customHeight="1">
      <c r="B9" s="466"/>
      <c r="D9" s="928" t="s">
        <v>404</v>
      </c>
      <c r="E9" s="928"/>
      <c r="F9" s="449"/>
      <c r="G9" s="335"/>
    </row>
    <row r="10" spans="2:7" s="1" customFormat="1" ht="18" customHeight="1">
      <c r="B10" s="466"/>
      <c r="D10" s="928" t="s">
        <v>255</v>
      </c>
      <c r="E10" s="985"/>
      <c r="F10" s="162"/>
      <c r="G10" s="335"/>
    </row>
    <row r="11" spans="2:7" s="1" customFormat="1" ht="18" customHeight="1" thickBot="1">
      <c r="B11" s="456"/>
      <c r="C11" s="440"/>
      <c r="D11" s="440"/>
      <c r="E11" s="440"/>
      <c r="F11" s="440"/>
      <c r="G11" s="457"/>
    </row>
    <row r="12" s="1" customFormat="1" ht="18" customHeight="1" thickBot="1" thickTop="1">
      <c r="B12" s="2"/>
    </row>
    <row r="13" spans="2:15" s="1" customFormat="1" ht="38.25" customHeight="1" thickTop="1">
      <c r="B13" s="54"/>
      <c r="C13" s="1006" t="s">
        <v>332</v>
      </c>
      <c r="D13" s="1007"/>
      <c r="E13" s="1007"/>
      <c r="F13" s="1007"/>
      <c r="G13" s="1007"/>
      <c r="H13" s="1007"/>
      <c r="I13" s="55"/>
      <c r="J13" s="55"/>
      <c r="K13" s="55"/>
      <c r="L13" s="55"/>
      <c r="M13" s="55"/>
      <c r="N13" s="55"/>
      <c r="O13" s="56"/>
    </row>
    <row r="14" spans="2:15" s="1" customFormat="1" ht="15" customHeight="1" thickBot="1">
      <c r="B14" s="80"/>
      <c r="C14" s="255"/>
      <c r="D14" s="81"/>
      <c r="E14" s="81"/>
      <c r="F14" s="81"/>
      <c r="G14" s="81"/>
      <c r="H14" s="81"/>
      <c r="I14" s="81"/>
      <c r="J14" s="81"/>
      <c r="K14" s="81"/>
      <c r="L14" s="81"/>
      <c r="M14" s="81"/>
      <c r="N14" s="81"/>
      <c r="O14" s="77"/>
    </row>
    <row r="15" spans="2:15" s="1" customFormat="1" ht="18" customHeight="1" thickTop="1">
      <c r="B15" s="57"/>
      <c r="C15" s="65"/>
      <c r="D15" s="65"/>
      <c r="E15" s="65"/>
      <c r="F15" s="65"/>
      <c r="G15" s="65"/>
      <c r="H15" s="65"/>
      <c r="I15" s="65"/>
      <c r="J15" s="65"/>
      <c r="K15" s="65"/>
      <c r="L15" s="65"/>
      <c r="M15" s="65"/>
      <c r="N15" s="65"/>
      <c r="O15" s="58"/>
    </row>
    <row r="16" spans="2:15" s="1" customFormat="1" ht="18" customHeight="1">
      <c r="B16" s="57"/>
      <c r="C16" s="98" t="s">
        <v>333</v>
      </c>
      <c r="D16" s="65"/>
      <c r="E16" s="65"/>
      <c r="F16" s="65"/>
      <c r="G16" s="65"/>
      <c r="H16" s="65"/>
      <c r="I16" s="65"/>
      <c r="J16" s="65"/>
      <c r="K16" s="65"/>
      <c r="L16" s="65"/>
      <c r="M16" s="65"/>
      <c r="N16" s="65"/>
      <c r="O16" s="58"/>
    </row>
    <row r="17" spans="2:15" s="1" customFormat="1" ht="18" customHeight="1">
      <c r="B17" s="57"/>
      <c r="C17" s="65"/>
      <c r="D17" s="65"/>
      <c r="E17" s="65"/>
      <c r="F17" s="65"/>
      <c r="G17" s="65"/>
      <c r="H17" s="65"/>
      <c r="I17" s="65"/>
      <c r="J17" s="65"/>
      <c r="K17" s="65"/>
      <c r="L17" s="65"/>
      <c r="M17" s="65"/>
      <c r="N17" s="65"/>
      <c r="O17" s="58"/>
    </row>
    <row r="18" spans="2:15" ht="18" customHeight="1">
      <c r="B18" s="57"/>
      <c r="C18" s="66"/>
      <c r="D18" s="3" t="s">
        <v>353</v>
      </c>
      <c r="E18" s="919" t="s">
        <v>368</v>
      </c>
      <c r="F18" s="1003"/>
      <c r="G18" s="1004"/>
      <c r="H18" s="3" t="s">
        <v>369</v>
      </c>
      <c r="I18" s="919" t="s">
        <v>370</v>
      </c>
      <c r="J18" s="1003"/>
      <c r="K18" s="1004"/>
      <c r="L18" s="3" t="s">
        <v>384</v>
      </c>
      <c r="M18" s="446"/>
      <c r="N18" s="446"/>
      <c r="O18" s="58"/>
    </row>
    <row r="19" spans="2:15" ht="19.5" customHeight="1">
      <c r="B19" s="57"/>
      <c r="C19" s="66"/>
      <c r="D19" s="3" t="s">
        <v>256</v>
      </c>
      <c r="E19" s="17" t="s">
        <v>257</v>
      </c>
      <c r="F19" s="17" t="s">
        <v>263</v>
      </c>
      <c r="G19" s="17" t="s">
        <v>258</v>
      </c>
      <c r="H19" s="3" t="s">
        <v>259</v>
      </c>
      <c r="I19" s="18" t="s">
        <v>262</v>
      </c>
      <c r="J19" s="18" t="s">
        <v>271</v>
      </c>
      <c r="K19" s="18" t="s">
        <v>526</v>
      </c>
      <c r="L19" s="3" t="s">
        <v>532</v>
      </c>
      <c r="M19" s="446"/>
      <c r="N19" s="446"/>
      <c r="O19" s="58"/>
    </row>
    <row r="20" spans="2:15" ht="69.75" customHeight="1">
      <c r="B20" s="57"/>
      <c r="C20" s="66"/>
      <c r="D20" s="5" t="s">
        <v>264</v>
      </c>
      <c r="E20" s="5" t="s">
        <v>544</v>
      </c>
      <c r="F20" s="5" t="s">
        <v>77</v>
      </c>
      <c r="G20" s="5" t="s">
        <v>78</v>
      </c>
      <c r="H20" s="5" t="s">
        <v>265</v>
      </c>
      <c r="I20" s="5" t="s">
        <v>215</v>
      </c>
      <c r="J20" s="5" t="s">
        <v>79</v>
      </c>
      <c r="K20" s="5" t="s">
        <v>80</v>
      </c>
      <c r="L20" s="8" t="s">
        <v>216</v>
      </c>
      <c r="M20" s="447"/>
      <c r="N20" s="8" t="s">
        <v>180</v>
      </c>
      <c r="O20" s="58"/>
    </row>
    <row r="21" spans="2:15" ht="27.75" customHeight="1">
      <c r="B21" s="57"/>
      <c r="C21" s="66"/>
      <c r="D21" s="6"/>
      <c r="E21" s="6"/>
      <c r="F21" s="6"/>
      <c r="G21" s="6"/>
      <c r="H21" s="6"/>
      <c r="I21" s="8" t="s">
        <v>81</v>
      </c>
      <c r="J21" s="8" t="s">
        <v>82</v>
      </c>
      <c r="K21" s="8" t="s">
        <v>83</v>
      </c>
      <c r="L21" s="8" t="s">
        <v>84</v>
      </c>
      <c r="M21" s="447"/>
      <c r="N21" s="8"/>
      <c r="O21" s="58"/>
    </row>
    <row r="22" spans="2:15" ht="28.5" customHeight="1">
      <c r="B22" s="57"/>
      <c r="C22" s="122"/>
      <c r="D22" s="7" t="s">
        <v>577</v>
      </c>
      <c r="E22" s="9" t="s">
        <v>85</v>
      </c>
      <c r="F22" s="9" t="s">
        <v>86</v>
      </c>
      <c r="G22" s="9" t="s">
        <v>87</v>
      </c>
      <c r="H22" s="9" t="s">
        <v>577</v>
      </c>
      <c r="I22" s="9" t="s">
        <v>85</v>
      </c>
      <c r="J22" s="9" t="s">
        <v>86</v>
      </c>
      <c r="K22" s="9" t="s">
        <v>87</v>
      </c>
      <c r="L22" s="8" t="s">
        <v>88</v>
      </c>
      <c r="M22" s="448"/>
      <c r="N22" s="7" t="s">
        <v>89</v>
      </c>
      <c r="O22" s="58"/>
    </row>
    <row r="23" spans="2:15" ht="19.5" customHeight="1">
      <c r="B23" s="57"/>
      <c r="C23" s="83"/>
      <c r="D23" s="69"/>
      <c r="E23" s="69"/>
      <c r="F23" s="69"/>
      <c r="G23" s="69"/>
      <c r="H23" s="69"/>
      <c r="I23" s="84"/>
      <c r="J23" s="84"/>
      <c r="K23" s="84"/>
      <c r="L23" s="84"/>
      <c r="M23" s="63"/>
      <c r="N23" s="84"/>
      <c r="O23" s="58"/>
    </row>
    <row r="24" spans="2:15" s="13" customFormat="1" ht="19.5" customHeight="1">
      <c r="B24" s="82"/>
      <c r="C24" s="121" t="s">
        <v>371</v>
      </c>
      <c r="D24" s="12"/>
      <c r="E24" s="12"/>
      <c r="F24" s="12"/>
      <c r="G24" s="12"/>
      <c r="H24" s="12"/>
      <c r="I24" s="20"/>
      <c r="J24" s="20"/>
      <c r="K24" s="20"/>
      <c r="L24" s="20"/>
      <c r="M24" s="63"/>
      <c r="N24" s="20"/>
      <c r="O24" s="112"/>
    </row>
    <row r="25" spans="2:15" ht="19.5" customHeight="1">
      <c r="B25" s="57"/>
      <c r="C25" s="671"/>
      <c r="D25" s="653"/>
      <c r="E25" s="653"/>
      <c r="F25" s="802"/>
      <c r="G25" s="802"/>
      <c r="H25" s="653"/>
      <c r="I25" s="133">
        <f>IF($D25=0,"",E25*$H25/$D25)</f>
      </c>
      <c r="J25" s="807">
        <f>IF($D25=0,"",F25*$H25/$D25)</f>
      </c>
      <c r="K25" s="807">
        <f>IF($D25=0,"",G25*$H25/$D25)</f>
      </c>
      <c r="L25" s="133">
        <f>+IF(H25=0,"",(I25+J25*21+K25*310)/H25)</f>
      </c>
      <c r="M25" s="447"/>
      <c r="N25" s="653"/>
      <c r="O25" s="58"/>
    </row>
    <row r="26" spans="2:15" ht="19.5" customHeight="1">
      <c r="B26" s="57"/>
      <c r="C26" s="671"/>
      <c r="D26" s="653"/>
      <c r="E26" s="653"/>
      <c r="F26" s="802"/>
      <c r="G26" s="802"/>
      <c r="H26" s="653"/>
      <c r="I26" s="133">
        <f aca="true" t="shared" si="0" ref="I26:K33">IF($D26=0,"",E26*$H26/$D26)</f>
      </c>
      <c r="J26" s="807">
        <f t="shared" si="0"/>
      </c>
      <c r="K26" s="807">
        <f t="shared" si="0"/>
      </c>
      <c r="L26" s="133">
        <f aca="true" t="shared" si="1" ref="L26:L32">+IF(H26=0,"",(I26+J26*21+K26*310)/H26)</f>
      </c>
      <c r="M26" s="447"/>
      <c r="N26" s="653"/>
      <c r="O26" s="58"/>
    </row>
    <row r="27" spans="2:15" ht="19.5" customHeight="1">
      <c r="B27" s="57"/>
      <c r="C27" s="671"/>
      <c r="D27" s="653"/>
      <c r="E27" s="653"/>
      <c r="F27" s="802"/>
      <c r="G27" s="802"/>
      <c r="H27" s="653"/>
      <c r="I27" s="133">
        <f t="shared" si="0"/>
      </c>
      <c r="J27" s="807">
        <f t="shared" si="0"/>
      </c>
      <c r="K27" s="807">
        <f t="shared" si="0"/>
      </c>
      <c r="L27" s="133">
        <f t="shared" si="1"/>
      </c>
      <c r="M27" s="447"/>
      <c r="N27" s="653"/>
      <c r="O27" s="58"/>
    </row>
    <row r="28" spans="2:15" ht="19.5" customHeight="1">
      <c r="B28" s="57"/>
      <c r="C28" s="671"/>
      <c r="D28" s="653"/>
      <c r="E28" s="653"/>
      <c r="F28" s="802"/>
      <c r="G28" s="802"/>
      <c r="H28" s="653"/>
      <c r="I28" s="133">
        <f t="shared" si="0"/>
      </c>
      <c r="J28" s="807">
        <f t="shared" si="0"/>
      </c>
      <c r="K28" s="807">
        <f t="shared" si="0"/>
      </c>
      <c r="L28" s="133">
        <f t="shared" si="1"/>
      </c>
      <c r="M28" s="447"/>
      <c r="N28" s="653"/>
      <c r="O28" s="58"/>
    </row>
    <row r="29" spans="2:15" ht="19.5" customHeight="1">
      <c r="B29" s="57"/>
      <c r="C29" s="673"/>
      <c r="D29" s="653"/>
      <c r="E29" s="653"/>
      <c r="F29" s="802"/>
      <c r="G29" s="802"/>
      <c r="H29" s="653"/>
      <c r="I29" s="133">
        <f t="shared" si="0"/>
      </c>
      <c r="J29" s="807">
        <f t="shared" si="0"/>
      </c>
      <c r="K29" s="807">
        <f t="shared" si="0"/>
      </c>
      <c r="L29" s="133">
        <f t="shared" si="1"/>
      </c>
      <c r="M29" s="447"/>
      <c r="N29" s="653"/>
      <c r="O29" s="58"/>
    </row>
    <row r="30" spans="2:15" ht="19.5" customHeight="1">
      <c r="B30" s="57"/>
      <c r="C30" s="673"/>
      <c r="D30" s="653"/>
      <c r="E30" s="653"/>
      <c r="F30" s="802"/>
      <c r="G30" s="802"/>
      <c r="H30" s="653"/>
      <c r="I30" s="133">
        <f t="shared" si="0"/>
      </c>
      <c r="J30" s="807">
        <f t="shared" si="0"/>
      </c>
      <c r="K30" s="807">
        <f t="shared" si="0"/>
      </c>
      <c r="L30" s="133">
        <f t="shared" si="1"/>
      </c>
      <c r="M30" s="447"/>
      <c r="N30" s="653"/>
      <c r="O30" s="58"/>
    </row>
    <row r="31" spans="2:15" ht="19.5" customHeight="1">
      <c r="B31" s="57"/>
      <c r="C31" s="673"/>
      <c r="D31" s="653"/>
      <c r="E31" s="653"/>
      <c r="F31" s="802"/>
      <c r="G31" s="802"/>
      <c r="H31" s="653"/>
      <c r="I31" s="133">
        <f t="shared" si="0"/>
      </c>
      <c r="J31" s="807">
        <f t="shared" si="0"/>
      </c>
      <c r="K31" s="807">
        <f t="shared" si="0"/>
      </c>
      <c r="L31" s="133">
        <f t="shared" si="1"/>
      </c>
      <c r="M31" s="447"/>
      <c r="N31" s="653"/>
      <c r="O31" s="58"/>
    </row>
    <row r="32" spans="2:15" ht="19.5" customHeight="1">
      <c r="B32" s="57"/>
      <c r="C32" s="673"/>
      <c r="D32" s="653"/>
      <c r="E32" s="653"/>
      <c r="F32" s="802"/>
      <c r="G32" s="802"/>
      <c r="H32" s="653"/>
      <c r="I32" s="133">
        <f t="shared" si="0"/>
      </c>
      <c r="J32" s="807">
        <f t="shared" si="0"/>
      </c>
      <c r="K32" s="807">
        <f t="shared" si="0"/>
      </c>
      <c r="L32" s="133">
        <f t="shared" si="1"/>
      </c>
      <c r="M32" s="447"/>
      <c r="N32" s="653"/>
      <c r="O32" s="58"/>
    </row>
    <row r="33" spans="2:15" ht="19.5" customHeight="1">
      <c r="B33" s="57"/>
      <c r="C33" s="671"/>
      <c r="D33" s="653"/>
      <c r="E33" s="653"/>
      <c r="F33" s="802"/>
      <c r="G33" s="802"/>
      <c r="H33" s="653"/>
      <c r="I33" s="133">
        <f>IF($D33=0,"",E33*$H33/$D33)</f>
      </c>
      <c r="J33" s="807">
        <f t="shared" si="0"/>
      </c>
      <c r="K33" s="807">
        <f t="shared" si="0"/>
      </c>
      <c r="L33" s="133">
        <f>+IF(H33=0,"",(I33+J33*21+K33*310)/H33)</f>
      </c>
      <c r="M33" s="447"/>
      <c r="N33" s="653"/>
      <c r="O33" s="58"/>
    </row>
    <row r="34" spans="2:15" ht="18" customHeight="1">
      <c r="B34" s="57"/>
      <c r="C34" s="68"/>
      <c r="D34" s="63"/>
      <c r="E34" s="63"/>
      <c r="F34" s="63"/>
      <c r="G34" s="63"/>
      <c r="H34" s="63"/>
      <c r="I34" s="735" t="s">
        <v>40</v>
      </c>
      <c r="J34" s="735" t="s">
        <v>41</v>
      </c>
      <c r="K34" s="735" t="s">
        <v>42</v>
      </c>
      <c r="L34" s="63"/>
      <c r="M34" s="63"/>
      <c r="N34" s="63"/>
      <c r="O34" s="58"/>
    </row>
    <row r="35" spans="2:15" ht="18" customHeight="1">
      <c r="B35" s="57"/>
      <c r="C35" s="65"/>
      <c r="D35" s="876"/>
      <c r="E35" s="1005" t="s">
        <v>184</v>
      </c>
      <c r="F35" s="960"/>
      <c r="G35" s="960"/>
      <c r="H35" s="960"/>
      <c r="I35" s="140">
        <f>SUM(I25:I33)</f>
        <v>0</v>
      </c>
      <c r="J35" s="140">
        <f>SUM(J25:J33)</f>
        <v>0</v>
      </c>
      <c r="K35" s="140">
        <f>SUM(K25:K33)</f>
        <v>0</v>
      </c>
      <c r="L35" s="342"/>
      <c r="M35" s="342"/>
      <c r="N35" s="342"/>
      <c r="O35" s="58"/>
    </row>
    <row r="36" spans="2:15" ht="13.5" thickBot="1">
      <c r="B36" s="80"/>
      <c r="C36" s="81"/>
      <c r="D36" s="81"/>
      <c r="E36" s="81"/>
      <c r="F36" s="81"/>
      <c r="G36" s="81"/>
      <c r="H36" s="81"/>
      <c r="I36" s="81"/>
      <c r="J36" s="81"/>
      <c r="K36" s="81"/>
      <c r="L36" s="81"/>
      <c r="M36" s="81"/>
      <c r="N36" s="81"/>
      <c r="O36" s="77"/>
    </row>
    <row r="37" ht="13.5" thickTop="1"/>
  </sheetData>
  <sheetProtection password="CD08" sheet="1" objects="1" scenarios="1"/>
  <mergeCells count="8">
    <mergeCell ref="E35:H35"/>
    <mergeCell ref="B1:M1"/>
    <mergeCell ref="D8:E8"/>
    <mergeCell ref="D9:E9"/>
    <mergeCell ref="D10:E10"/>
    <mergeCell ref="C13:H13"/>
    <mergeCell ref="E18:G18"/>
    <mergeCell ref="I18:K18"/>
  </mergeCells>
  <printOptions horizontalCentered="1"/>
  <pageMargins left="0.75" right="0.75" top="1" bottom="1" header="0.5" footer="0.5"/>
  <pageSetup fitToHeight="1" fitToWidth="1" horizontalDpi="600" verticalDpi="600" orientation="landscape" scale="54" r:id="rId1"/>
  <headerFooter alignWithMargins="0">
    <oddHeader>&amp;L&amp;D&amp;R&amp;F</oddHeader>
  </headerFooter>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Administrator</dc:creator>
  <cp:keywords/>
  <dc:description/>
  <cp:lastModifiedBy>Brad Upton</cp:lastModifiedBy>
  <cp:lastPrinted>2005-07-11T17:11:34Z</cp:lastPrinted>
  <dcterms:created xsi:type="dcterms:W3CDTF">2000-06-30T18:41:26Z</dcterms:created>
  <dcterms:modified xsi:type="dcterms:W3CDTF">2009-03-06T21:34:37Z</dcterms:modified>
  <cp:category/>
  <cp:version/>
  <cp:contentType/>
  <cp:contentStatus/>
</cp:coreProperties>
</file>